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165" windowWidth="14430" windowHeight="9375" firstSheet="2" activeTab="4"/>
  </bookViews>
  <sheets>
    <sheet name="S" sheetId="47" r:id="rId1"/>
    <sheet name="Values and minus percentages" sheetId="51" r:id="rId2"/>
    <sheet name="Wholesale tariffs - analog TV" sheetId="60" r:id="rId3"/>
    <sheet name="Wholesal tariffs - digital TV" sheetId="59" r:id="rId4"/>
    <sheet name="Wholesale tariffs - multiplay" sheetId="49" r:id="rId5"/>
  </sheets>
  <definedNames>
    <definedName name="_xlnm._FilterDatabase" localSheetId="1" hidden="1">'Values and minus percentages'!#REF!</definedName>
    <definedName name="billion">1000000000</definedName>
    <definedName name="bit.conversion">1024</definedName>
    <definedName name="bit.per.byte">8</definedName>
    <definedName name="block.size">"2x5 MHz"</definedName>
    <definedName name="cell.pi">2.6</definedName>
    <definedName name="chosen.minus">'Values and minus percentages'!$H$66:$H$69</definedName>
    <definedName name="chosen.minus.TVanalogique">'Values and minus percentages'!$H$82:$H$85</definedName>
    <definedName name="chosen.minus.TVnumerique">'Values and minus percentages'!$H$74:$H$77</definedName>
    <definedName name="days.per.month">30.42</definedName>
    <definedName name="days.per.year">365</definedName>
    <definedName name="epsilon">0.000001</definedName>
    <definedName name="hours.per.day">24</definedName>
    <definedName name="liste.minus">'Values and minus percentages'!$D$65:$F$65</definedName>
    <definedName name="million">1000000</definedName>
    <definedName name="minutes.per.hour">60</definedName>
    <definedName name="months.per.year">12</definedName>
    <definedName name="seconds.per.hour">3600</definedName>
    <definedName name="seconds.per.minute">60</definedName>
    <definedName name="sectors.per.site" localSheetId="3">#REF!</definedName>
    <definedName name="sectors.per.site" localSheetId="2">#REF!</definedName>
    <definedName name="sectors.per.site">#REF!</definedName>
    <definedName name="thousand">1000</definedName>
    <definedName name="VAT.rate">'Values and minus percentages'!$D$3</definedName>
    <definedName name="Workbook.Author" localSheetId="3">#REF!</definedName>
    <definedName name="Workbook.Author" localSheetId="2">#REF!</definedName>
    <definedName name="Workbook.Author">#REF!</definedName>
    <definedName name="Workbook.Authors_Email_Address" localSheetId="3">#REF!</definedName>
    <definedName name="Workbook.Authors_Email_Address" localSheetId="2">#REF!</definedName>
    <definedName name="Workbook.Authors_Email_Address">#REF!</definedName>
    <definedName name="Workbook.Objective" localSheetId="3">#REF!</definedName>
    <definedName name="Workbook.Objective" localSheetId="2">#REF!</definedName>
    <definedName name="Workbook.Objective">#REF!</definedName>
    <definedName name="Workbook.Status" localSheetId="3">#REF!</definedName>
    <definedName name="Workbook.Status" localSheetId="2">#REF!</definedName>
    <definedName name="Workbook.Status">#REF!</definedName>
    <definedName name="Workbook.Title" localSheetId="3">#REF!</definedName>
    <definedName name="Workbook.Title" localSheetId="2">#REF!</definedName>
    <definedName name="Workbook.Title">#REF!</definedName>
    <definedName name="Workbook.Version" localSheetId="3">#REF!</definedName>
    <definedName name="Workbook.Version" localSheetId="2">#REF!</definedName>
    <definedName name="Workbook.Version">#REF!</definedName>
    <definedName name="_xlnm.Extract" localSheetId="1">'Values and minus percentages'!#REF!</definedName>
  </definedNames>
  <calcPr calcId="145621"/>
</workbook>
</file>

<file path=xl/calcChain.xml><?xml version="1.0" encoding="utf-8"?>
<calcChain xmlns="http://schemas.openxmlformats.org/spreadsheetml/2006/main">
  <c r="F81" i="51" l="1"/>
  <c r="E81" i="51"/>
  <c r="E73" i="51"/>
  <c r="F73" i="51"/>
  <c r="D39" i="51"/>
  <c r="D40" i="51"/>
  <c r="D42" i="51"/>
  <c r="D54" i="51"/>
  <c r="D55" i="51"/>
  <c r="K21" i="60" l="1"/>
  <c r="G21" i="60"/>
  <c r="E21" i="60"/>
  <c r="G31" i="59" l="1"/>
  <c r="K31" i="59"/>
  <c r="E31" i="59"/>
  <c r="D84" i="51"/>
  <c r="H85" i="51"/>
  <c r="K20" i="60" s="1"/>
  <c r="H84" i="51"/>
  <c r="I20" i="60" s="1"/>
  <c r="H83" i="51"/>
  <c r="G20" i="60" s="1"/>
  <c r="H82" i="51"/>
  <c r="E20" i="60" s="1"/>
  <c r="H81" i="51"/>
  <c r="H77" i="51"/>
  <c r="H76" i="51"/>
  <c r="D76" i="51"/>
  <c r="I21" i="60" s="1"/>
  <c r="H75" i="51"/>
  <c r="H74" i="51"/>
  <c r="H73" i="51"/>
  <c r="I31" i="59" l="1"/>
  <c r="E30" i="59"/>
  <c r="G30" i="59"/>
  <c r="K30" i="59"/>
  <c r="I30" i="59"/>
  <c r="K19" i="59"/>
  <c r="I19" i="59"/>
  <c r="G19" i="59"/>
  <c r="E19" i="59"/>
  <c r="F14" i="51"/>
  <c r="G14" i="51" s="1"/>
  <c r="F27" i="51" l="1"/>
  <c r="G27" i="51" s="1"/>
  <c r="H97" i="49" l="1"/>
  <c r="S97" i="49"/>
  <c r="AD97" i="49"/>
  <c r="H91" i="49"/>
  <c r="S91" i="49"/>
  <c r="AD91" i="49"/>
  <c r="H92" i="49"/>
  <c r="S92" i="49"/>
  <c r="AD92" i="49"/>
  <c r="H93" i="49"/>
  <c r="S93" i="49"/>
  <c r="AD93" i="49"/>
  <c r="H94" i="49"/>
  <c r="S94" i="49"/>
  <c r="AD94" i="49"/>
  <c r="H95" i="49"/>
  <c r="S95" i="49"/>
  <c r="AD95" i="49"/>
  <c r="H96" i="49"/>
  <c r="S96" i="49"/>
  <c r="AD96" i="49"/>
  <c r="H72" i="49"/>
  <c r="H83" i="49" l="1"/>
  <c r="H90" i="49" s="1"/>
  <c r="H74" i="49"/>
  <c r="AD64" i="49"/>
  <c r="AD72" i="49" s="1"/>
  <c r="AD83" i="49" s="1"/>
  <c r="AD90" i="49" s="1"/>
  <c r="S64" i="49"/>
  <c r="S72" i="49" s="1"/>
  <c r="S105" i="49" s="1"/>
  <c r="AD74" i="49" l="1"/>
  <c r="S74" i="49"/>
  <c r="S83" i="49"/>
  <c r="S90" i="49" s="1"/>
  <c r="AD105" i="49"/>
  <c r="F29" i="51" l="1"/>
  <c r="G29" i="51" s="1"/>
  <c r="F48" i="51"/>
  <c r="G48" i="51" s="1"/>
  <c r="F28" i="51"/>
  <c r="G28" i="51" s="1"/>
  <c r="O20" i="49"/>
  <c r="AC103" i="49"/>
  <c r="AB103" i="49"/>
  <c r="AA103" i="49"/>
  <c r="Z103" i="49"/>
  <c r="Y103" i="49"/>
  <c r="X103" i="49"/>
  <c r="W103" i="49"/>
  <c r="V103" i="49"/>
  <c r="U103" i="49"/>
  <c r="T103" i="49"/>
  <c r="AC80" i="49"/>
  <c r="AB80" i="49"/>
  <c r="AA80" i="49"/>
  <c r="Z80" i="49"/>
  <c r="Y80" i="49"/>
  <c r="X80" i="49"/>
  <c r="W80" i="49"/>
  <c r="V80" i="49"/>
  <c r="U80" i="49"/>
  <c r="T80" i="49"/>
  <c r="AC77" i="49"/>
  <c r="AB77" i="49"/>
  <c r="AA77" i="49"/>
  <c r="Z77" i="49"/>
  <c r="Y77" i="49"/>
  <c r="X77" i="49"/>
  <c r="W77" i="49"/>
  <c r="V77" i="49"/>
  <c r="U77" i="49"/>
  <c r="T77" i="49"/>
  <c r="AC47" i="49"/>
  <c r="AB47" i="49"/>
  <c r="AA47" i="49"/>
  <c r="Z47" i="49"/>
  <c r="Y47" i="49"/>
  <c r="X47" i="49"/>
  <c r="W47" i="49"/>
  <c r="V47" i="49"/>
  <c r="U47" i="49"/>
  <c r="T47" i="49"/>
  <c r="X46" i="49"/>
  <c r="W46" i="49"/>
  <c r="V46" i="49"/>
  <c r="U46" i="49"/>
  <c r="T46" i="49"/>
  <c r="AC45" i="49"/>
  <c r="AB45" i="49"/>
  <c r="AA45" i="49"/>
  <c r="Z45" i="49"/>
  <c r="Y45" i="49"/>
  <c r="X45" i="49"/>
  <c r="W45" i="49"/>
  <c r="V45" i="49"/>
  <c r="U45" i="49"/>
  <c r="T45" i="49"/>
  <c r="AC67" i="49"/>
  <c r="AB67" i="49"/>
  <c r="AA67" i="49"/>
  <c r="Z67" i="49"/>
  <c r="Y67" i="49"/>
  <c r="X67" i="49"/>
  <c r="W67" i="49"/>
  <c r="V67" i="49"/>
  <c r="U67" i="49"/>
  <c r="T67" i="49"/>
  <c r="AC66" i="49"/>
  <c r="AB66" i="49"/>
  <c r="AA66" i="49"/>
  <c r="Z66" i="49"/>
  <c r="Y66" i="49"/>
  <c r="X66" i="49"/>
  <c r="W66" i="49"/>
  <c r="V66" i="49"/>
  <c r="U66" i="49"/>
  <c r="T66" i="49"/>
  <c r="AC43" i="49"/>
  <c r="AB43" i="49"/>
  <c r="AA43" i="49"/>
  <c r="Z43" i="49"/>
  <c r="Y43" i="49"/>
  <c r="X43" i="49"/>
  <c r="W43" i="49"/>
  <c r="V43" i="49"/>
  <c r="U43" i="49"/>
  <c r="T43" i="49"/>
  <c r="Z42" i="49"/>
  <c r="Y42" i="49"/>
  <c r="U42" i="49"/>
  <c r="T42" i="49"/>
  <c r="Z25" i="49"/>
  <c r="Y25" i="49"/>
  <c r="U25" i="49"/>
  <c r="T25" i="49"/>
  <c r="AC23" i="49"/>
  <c r="AB23" i="49"/>
  <c r="AA23" i="49"/>
  <c r="Z23" i="49"/>
  <c r="Y23" i="49"/>
  <c r="X23" i="49"/>
  <c r="W23" i="49"/>
  <c r="V23" i="49"/>
  <c r="U23" i="49"/>
  <c r="T23" i="49"/>
  <c r="AC20" i="49"/>
  <c r="AC82" i="49" s="1"/>
  <c r="AB20" i="49"/>
  <c r="AB82" i="49" s="1"/>
  <c r="AA20" i="49"/>
  <c r="AA82" i="49" s="1"/>
  <c r="Z20" i="49"/>
  <c r="Z82" i="49" s="1"/>
  <c r="Y20" i="49"/>
  <c r="Y82" i="49" s="1"/>
  <c r="X20" i="49"/>
  <c r="X82" i="49" s="1"/>
  <c r="W20" i="49"/>
  <c r="W82" i="49" s="1"/>
  <c r="V20" i="49"/>
  <c r="V82" i="49" s="1"/>
  <c r="U20" i="49"/>
  <c r="U82" i="49" s="1"/>
  <c r="T20" i="49"/>
  <c r="T82" i="49" s="1"/>
  <c r="F103" i="49"/>
  <c r="E103" i="49"/>
  <c r="G103" i="49"/>
  <c r="H65" i="51"/>
  <c r="H67" i="51"/>
  <c r="H68" i="51"/>
  <c r="H69" i="51"/>
  <c r="H66" i="51"/>
  <c r="W102" i="49" l="1"/>
  <c r="F102" i="49"/>
  <c r="AE102" i="49"/>
  <c r="Y87" i="49"/>
  <c r="AC87" i="49"/>
  <c r="Z87" i="49"/>
  <c r="V87" i="49"/>
  <c r="W87" i="49"/>
  <c r="AA87" i="49"/>
  <c r="T102" i="49"/>
  <c r="Z102" i="49"/>
  <c r="V102" i="49"/>
  <c r="AC102" i="49"/>
  <c r="Y102" i="49"/>
  <c r="U102" i="49"/>
  <c r="AB102" i="49"/>
  <c r="X102" i="49"/>
  <c r="AA102" i="49"/>
  <c r="AA19" i="49"/>
  <c r="AA28" i="49" s="1"/>
  <c r="AA30" i="49" s="1"/>
  <c r="J102" i="49"/>
  <c r="Y19" i="49"/>
  <c r="Y28" i="49" s="1"/>
  <c r="Y30" i="49" s="1"/>
  <c r="AC19" i="49"/>
  <c r="AC28" i="49" s="1"/>
  <c r="AC30" i="49" s="1"/>
  <c r="AC29" i="49" s="1"/>
  <c r="I102" i="49"/>
  <c r="M102" i="49"/>
  <c r="Q102" i="49"/>
  <c r="L102" i="49"/>
  <c r="P102" i="49"/>
  <c r="K102" i="49"/>
  <c r="O102" i="49"/>
  <c r="AG102" i="49"/>
  <c r="V19" i="49"/>
  <c r="V28" i="49" s="1"/>
  <c r="V30" i="49" s="1"/>
  <c r="W19" i="49"/>
  <c r="W28" i="49" s="1"/>
  <c r="W30" i="49" s="1"/>
  <c r="AF102" i="49"/>
  <c r="R102" i="49"/>
  <c r="N102" i="49"/>
  <c r="G102" i="49"/>
  <c r="Z19" i="49"/>
  <c r="Z28" i="49" s="1"/>
  <c r="Z30" i="49" s="1"/>
  <c r="Z29" i="49" s="1"/>
  <c r="E102" i="49"/>
  <c r="T87" i="49"/>
  <c r="X87" i="49"/>
  <c r="AB87" i="49"/>
  <c r="T19" i="49"/>
  <c r="T28" i="49" s="1"/>
  <c r="X19" i="49"/>
  <c r="X28" i="49" s="1"/>
  <c r="AB19" i="49"/>
  <c r="AB28" i="49" s="1"/>
  <c r="U87" i="49"/>
  <c r="U19" i="49"/>
  <c r="U28" i="49" s="1"/>
  <c r="AF25" i="49"/>
  <c r="AE25" i="49"/>
  <c r="O25" i="49"/>
  <c r="N25" i="49"/>
  <c r="J25" i="49"/>
  <c r="I25" i="49"/>
  <c r="F52" i="51"/>
  <c r="G52" i="51" s="1"/>
  <c r="F13" i="51"/>
  <c r="G13" i="51" s="1"/>
  <c r="J103" i="49"/>
  <c r="K103" i="49"/>
  <c r="L103" i="49"/>
  <c r="M103" i="49"/>
  <c r="N103" i="49"/>
  <c r="O103" i="49"/>
  <c r="P103" i="49"/>
  <c r="Q103" i="49"/>
  <c r="R103" i="49"/>
  <c r="I103" i="49"/>
  <c r="D68" i="51"/>
  <c r="V29" i="49" l="1"/>
  <c r="U30" i="49"/>
  <c r="X30" i="49"/>
  <c r="W29" i="49"/>
  <c r="AA29" i="49"/>
  <c r="T30" i="49"/>
  <c r="T29" i="49" s="1"/>
  <c r="Y29" i="49"/>
  <c r="AB30" i="49"/>
  <c r="AB29" i="49" l="1"/>
  <c r="X29" i="49"/>
  <c r="U29" i="49"/>
  <c r="AG23" i="49" l="1"/>
  <c r="AF23" i="49"/>
  <c r="AE23" i="49"/>
  <c r="R23" i="49"/>
  <c r="Q23" i="49"/>
  <c r="P23" i="49"/>
  <c r="O23" i="49"/>
  <c r="N23" i="49"/>
  <c r="M23" i="49"/>
  <c r="L23" i="49"/>
  <c r="K23" i="49"/>
  <c r="J23" i="49"/>
  <c r="I23" i="49"/>
  <c r="AG80" i="49"/>
  <c r="AF80" i="49"/>
  <c r="AE80" i="49"/>
  <c r="AG77" i="49"/>
  <c r="AF77" i="49"/>
  <c r="AE77" i="49"/>
  <c r="J77" i="49"/>
  <c r="K77" i="49"/>
  <c r="L77" i="49"/>
  <c r="M77" i="49"/>
  <c r="N77" i="49"/>
  <c r="O77" i="49"/>
  <c r="P77" i="49"/>
  <c r="Q77" i="49"/>
  <c r="R77" i="49"/>
  <c r="J80" i="49"/>
  <c r="K80" i="49"/>
  <c r="L80" i="49"/>
  <c r="M80" i="49"/>
  <c r="N80" i="49"/>
  <c r="O80" i="49"/>
  <c r="P80" i="49"/>
  <c r="Q80" i="49"/>
  <c r="R80" i="49"/>
  <c r="I80" i="49"/>
  <c r="I77" i="49"/>
  <c r="F77" i="49"/>
  <c r="G77" i="49"/>
  <c r="E77" i="49"/>
  <c r="R87" i="49" l="1"/>
  <c r="N87" i="49"/>
  <c r="Q87" i="49"/>
  <c r="P87" i="49"/>
  <c r="AF87" i="49"/>
  <c r="I87" i="49"/>
  <c r="O87" i="49"/>
  <c r="K87" i="49"/>
  <c r="AG87" i="49"/>
  <c r="J87" i="49"/>
  <c r="AE87" i="49"/>
  <c r="M87" i="49"/>
  <c r="L87" i="49"/>
  <c r="AG20" i="49" l="1"/>
  <c r="AF20" i="49"/>
  <c r="AE20" i="49"/>
  <c r="J20" i="49"/>
  <c r="K20" i="49"/>
  <c r="L20" i="49"/>
  <c r="M20" i="49"/>
  <c r="N20" i="49"/>
  <c r="P20" i="49"/>
  <c r="Q20" i="49"/>
  <c r="R20" i="49"/>
  <c r="I20" i="49"/>
  <c r="F20" i="49"/>
  <c r="F82" i="49" s="1"/>
  <c r="G20" i="49"/>
  <c r="G82" i="49" s="1"/>
  <c r="E20" i="49"/>
  <c r="E82" i="49" s="1"/>
  <c r="Q19" i="49" l="1"/>
  <c r="Q28" i="49" s="1"/>
  <c r="Q82" i="49"/>
  <c r="O19" i="49"/>
  <c r="O28" i="49" s="1"/>
  <c r="O82" i="49"/>
  <c r="K82" i="49"/>
  <c r="K19" i="49"/>
  <c r="K28" i="49" s="1"/>
  <c r="AG82" i="49"/>
  <c r="AG19" i="49"/>
  <c r="AG28" i="49" s="1"/>
  <c r="M19" i="49"/>
  <c r="M28" i="49" s="1"/>
  <c r="M82" i="49"/>
  <c r="AE82" i="49"/>
  <c r="AE19" i="49"/>
  <c r="AE28" i="49" s="1"/>
  <c r="I82" i="49"/>
  <c r="I19" i="49"/>
  <c r="I28" i="49" s="1"/>
  <c r="R82" i="49"/>
  <c r="R19" i="49"/>
  <c r="R28" i="49" s="1"/>
  <c r="N19" i="49"/>
  <c r="N28" i="49" s="1"/>
  <c r="N82" i="49"/>
  <c r="J82" i="49"/>
  <c r="J19" i="49"/>
  <c r="J28" i="49" s="1"/>
  <c r="P19" i="49"/>
  <c r="P28" i="49" s="1"/>
  <c r="P82" i="49"/>
  <c r="L19" i="49"/>
  <c r="L28" i="49" s="1"/>
  <c r="L82" i="49"/>
  <c r="AF19" i="49"/>
  <c r="AF28" i="49" s="1"/>
  <c r="AF82" i="49"/>
  <c r="AG103" i="49" l="1"/>
  <c r="AF103" i="49"/>
  <c r="AE103" i="49"/>
  <c r="F47" i="51"/>
  <c r="G47" i="51" s="1"/>
  <c r="F26" i="51"/>
  <c r="G26" i="51" s="1"/>
  <c r="F9" i="51"/>
  <c r="G9" i="51" s="1"/>
  <c r="E32" i="49" l="1"/>
  <c r="E79" i="49" s="1"/>
  <c r="G32" i="49"/>
  <c r="G79" i="49" s="1"/>
  <c r="F32" i="49"/>
  <c r="F79" i="49" s="1"/>
  <c r="K32" i="49"/>
  <c r="K79" i="49" s="1"/>
  <c r="T32" i="49"/>
  <c r="R32" i="49"/>
  <c r="R79" i="49" s="1"/>
  <c r="N32" i="49"/>
  <c r="N79" i="49" s="1"/>
  <c r="J32" i="49"/>
  <c r="J79" i="49" s="1"/>
  <c r="AA32" i="49"/>
  <c r="W32" i="49"/>
  <c r="Q32" i="49"/>
  <c r="Q79" i="49" s="1"/>
  <c r="M32" i="49"/>
  <c r="M79" i="49" s="1"/>
  <c r="I32" i="49"/>
  <c r="I79" i="49" s="1"/>
  <c r="Z32" i="49"/>
  <c r="V32" i="49"/>
  <c r="P32" i="49"/>
  <c r="P79" i="49" s="1"/>
  <c r="L32" i="49"/>
  <c r="L79" i="49" s="1"/>
  <c r="AC32" i="49"/>
  <c r="Y32" i="49"/>
  <c r="U32" i="49"/>
  <c r="O32" i="49"/>
  <c r="O79" i="49" s="1"/>
  <c r="AB32" i="49"/>
  <c r="X32" i="49"/>
  <c r="AF32" i="49"/>
  <c r="AF79" i="49" s="1"/>
  <c r="AG32" i="49"/>
  <c r="AG79" i="49" s="1"/>
  <c r="AE32" i="49"/>
  <c r="AE79" i="49" s="1"/>
  <c r="W79" i="49" l="1"/>
  <c r="W35" i="49"/>
  <c r="AB79" i="49"/>
  <c r="AB35" i="49"/>
  <c r="AA79" i="49"/>
  <c r="AA35" i="49"/>
  <c r="U79" i="49"/>
  <c r="U35" i="49"/>
  <c r="V79" i="49"/>
  <c r="V35" i="49"/>
  <c r="T79" i="49"/>
  <c r="T35" i="49"/>
  <c r="Y79" i="49"/>
  <c r="Y35" i="49"/>
  <c r="Z79" i="49"/>
  <c r="Z35" i="49"/>
  <c r="X79" i="49"/>
  <c r="X35" i="49"/>
  <c r="AC79" i="49"/>
  <c r="AC35" i="49"/>
  <c r="AE81" i="49"/>
  <c r="AE78" i="49"/>
  <c r="AG81" i="49"/>
  <c r="AG78" i="49"/>
  <c r="E81" i="49"/>
  <c r="G81" i="49"/>
  <c r="AF81" i="49"/>
  <c r="AF78" i="49"/>
  <c r="F81" i="49"/>
  <c r="L81" i="49"/>
  <c r="L78" i="49"/>
  <c r="N81" i="49"/>
  <c r="N78" i="49"/>
  <c r="M81" i="49"/>
  <c r="M78" i="49"/>
  <c r="R81" i="49"/>
  <c r="R78" i="49"/>
  <c r="O81" i="49"/>
  <c r="O78" i="49"/>
  <c r="J81" i="49"/>
  <c r="J78" i="49"/>
  <c r="Q81" i="49"/>
  <c r="Q78" i="49"/>
  <c r="K81" i="49"/>
  <c r="K78" i="49"/>
  <c r="P81" i="49"/>
  <c r="P78" i="49"/>
  <c r="I78" i="49"/>
  <c r="I81" i="49"/>
  <c r="F53" i="51"/>
  <c r="F16" i="51"/>
  <c r="F15" i="51"/>
  <c r="E25" i="49" s="1"/>
  <c r="E28" i="49" s="1"/>
  <c r="E22" i="49" s="1"/>
  <c r="F62" i="51"/>
  <c r="G62" i="51" s="1"/>
  <c r="F61" i="51"/>
  <c r="G61" i="51" s="1"/>
  <c r="F60" i="51"/>
  <c r="G60" i="51" s="1"/>
  <c r="F44" i="51"/>
  <c r="G44" i="51" s="1"/>
  <c r="F43" i="51"/>
  <c r="G43" i="51" s="1"/>
  <c r="F23" i="51"/>
  <c r="G23" i="51" s="1"/>
  <c r="F34" i="51"/>
  <c r="G34" i="51" s="1"/>
  <c r="F33" i="51"/>
  <c r="G33" i="51" s="1"/>
  <c r="F32" i="51"/>
  <c r="G32" i="51" s="1"/>
  <c r="F31" i="51"/>
  <c r="G31" i="51" s="1"/>
  <c r="F30" i="51"/>
  <c r="G30" i="51" s="1"/>
  <c r="F51" i="51"/>
  <c r="G51" i="51" s="1"/>
  <c r="F50" i="51"/>
  <c r="G50" i="51" s="1"/>
  <c r="F49" i="51"/>
  <c r="G49" i="51" s="1"/>
  <c r="F12" i="51"/>
  <c r="G12" i="51" s="1"/>
  <c r="F11" i="51"/>
  <c r="G11" i="51" s="1"/>
  <c r="F10" i="51"/>
  <c r="G10" i="51" s="1"/>
  <c r="E80" i="49" l="1"/>
  <c r="E23" i="49"/>
  <c r="AA46" i="49"/>
  <c r="AC46" i="49"/>
  <c r="AB46" i="49"/>
  <c r="X78" i="49"/>
  <c r="X81" i="49"/>
  <c r="V81" i="49"/>
  <c r="V78" i="49"/>
  <c r="AA78" i="49"/>
  <c r="AA81" i="49"/>
  <c r="Y41" i="49"/>
  <c r="T41" i="49"/>
  <c r="U41" i="49"/>
  <c r="Z41" i="49"/>
  <c r="AC78" i="49"/>
  <c r="AC81" i="49"/>
  <c r="Z81" i="49"/>
  <c r="Z78" i="49"/>
  <c r="T78" i="49"/>
  <c r="T81" i="49"/>
  <c r="U78" i="49"/>
  <c r="U81" i="49"/>
  <c r="AB78" i="49"/>
  <c r="AB81" i="49"/>
  <c r="AB41" i="49"/>
  <c r="W41" i="49"/>
  <c r="Y78" i="49"/>
  <c r="Y81" i="49"/>
  <c r="W81" i="49"/>
  <c r="W78" i="49"/>
  <c r="AC41" i="49"/>
  <c r="X41" i="49"/>
  <c r="AA41" i="49"/>
  <c r="V41" i="49"/>
  <c r="Z46" i="49"/>
  <c r="Y46" i="49"/>
  <c r="G15" i="51"/>
  <c r="E42" i="49" s="1"/>
  <c r="F25" i="49"/>
  <c r="F28" i="49" s="1"/>
  <c r="F22" i="49" s="1"/>
  <c r="G16" i="51"/>
  <c r="G25" i="49"/>
  <c r="G28" i="49" s="1"/>
  <c r="G22" i="49" s="1"/>
  <c r="G53" i="51"/>
  <c r="AG25" i="49"/>
  <c r="F41" i="49"/>
  <c r="G41" i="49"/>
  <c r="I41" i="49"/>
  <c r="J41" i="49"/>
  <c r="K41" i="49"/>
  <c r="L41" i="49"/>
  <c r="M41" i="49"/>
  <c r="N41" i="49"/>
  <c r="O41" i="49"/>
  <c r="P41" i="49"/>
  <c r="Q41" i="49"/>
  <c r="R41" i="49"/>
  <c r="AE41" i="49"/>
  <c r="AF41" i="49"/>
  <c r="AG41" i="49"/>
  <c r="G42" i="49"/>
  <c r="I42" i="49"/>
  <c r="J42" i="49"/>
  <c r="N42" i="49"/>
  <c r="O42" i="49"/>
  <c r="AE42" i="49"/>
  <c r="AF42" i="49"/>
  <c r="F43" i="49"/>
  <c r="G43" i="49"/>
  <c r="I43" i="49"/>
  <c r="J43" i="49"/>
  <c r="K43" i="49"/>
  <c r="L43" i="49"/>
  <c r="M43" i="49"/>
  <c r="N43" i="49"/>
  <c r="O43" i="49"/>
  <c r="P43" i="49"/>
  <c r="Q43" i="49"/>
  <c r="R43" i="49"/>
  <c r="AE43" i="49"/>
  <c r="AF43" i="49"/>
  <c r="AG43" i="49"/>
  <c r="I66" i="49"/>
  <c r="J66" i="49"/>
  <c r="K66" i="49"/>
  <c r="L66" i="49"/>
  <c r="M66" i="49"/>
  <c r="N66" i="49"/>
  <c r="O66" i="49"/>
  <c r="P66" i="49"/>
  <c r="Q66" i="49"/>
  <c r="R66" i="49"/>
  <c r="I67" i="49"/>
  <c r="J67" i="49"/>
  <c r="K67" i="49"/>
  <c r="L67" i="49"/>
  <c r="M67" i="49"/>
  <c r="N67" i="49"/>
  <c r="O67" i="49"/>
  <c r="P67" i="49"/>
  <c r="Q67" i="49"/>
  <c r="R67" i="49"/>
  <c r="F46" i="49"/>
  <c r="G46" i="49"/>
  <c r="I46" i="49"/>
  <c r="J46" i="49"/>
  <c r="K46" i="49"/>
  <c r="L46" i="49"/>
  <c r="M46" i="49"/>
  <c r="N46" i="49"/>
  <c r="O46" i="49"/>
  <c r="P46" i="49"/>
  <c r="Q46" i="49"/>
  <c r="R46" i="49"/>
  <c r="AE46" i="49"/>
  <c r="AF46" i="49"/>
  <c r="AG46" i="49"/>
  <c r="F47" i="49"/>
  <c r="G47" i="49"/>
  <c r="I47" i="49"/>
  <c r="J47" i="49"/>
  <c r="K47" i="49"/>
  <c r="L47" i="49"/>
  <c r="M47" i="49"/>
  <c r="N47" i="49"/>
  <c r="O47" i="49"/>
  <c r="P47" i="49"/>
  <c r="Q47" i="49"/>
  <c r="R47" i="49"/>
  <c r="AE47" i="49"/>
  <c r="AF47" i="49"/>
  <c r="AG47" i="49"/>
  <c r="E41" i="49"/>
  <c r="E43" i="49"/>
  <c r="E46" i="49"/>
  <c r="E47" i="49"/>
  <c r="AG42" i="49"/>
  <c r="F42" i="49"/>
  <c r="F22" i="51"/>
  <c r="G22" i="51" s="1"/>
  <c r="F21" i="51"/>
  <c r="G21" i="51" s="1"/>
  <c r="F20" i="51"/>
  <c r="G20" i="51" s="1"/>
  <c r="F19" i="51"/>
  <c r="G19" i="51" s="1"/>
  <c r="F18" i="51"/>
  <c r="G18" i="51" s="1"/>
  <c r="F17" i="51"/>
  <c r="G17" i="51" s="1"/>
  <c r="F25" i="51"/>
  <c r="G25" i="51" s="1"/>
  <c r="F8" i="51"/>
  <c r="G8" i="51" s="1"/>
  <c r="E9" i="60" s="1"/>
  <c r="E10" i="60" s="1"/>
  <c r="E14" i="60" s="1"/>
  <c r="F46" i="51"/>
  <c r="G46" i="51" s="1"/>
  <c r="K9" i="60" s="1"/>
  <c r="K10" i="60" s="1"/>
  <c r="K14" i="60" s="1"/>
  <c r="F45" i="49" l="1"/>
  <c r="E25" i="59"/>
  <c r="E20" i="59" s="1"/>
  <c r="I9" i="60"/>
  <c r="I10" i="60" s="1"/>
  <c r="I14" i="60" s="1"/>
  <c r="I23" i="60" s="1"/>
  <c r="G9" i="60"/>
  <c r="G10" i="60" s="1"/>
  <c r="G14" i="60" s="1"/>
  <c r="K23" i="60"/>
  <c r="K16" i="60"/>
  <c r="E23" i="60"/>
  <c r="E16" i="60"/>
  <c r="G9" i="59"/>
  <c r="I9" i="59"/>
  <c r="F67" i="49"/>
  <c r="G68" i="49"/>
  <c r="F44" i="49"/>
  <c r="K9" i="59"/>
  <c r="G65" i="49"/>
  <c r="E9" i="59"/>
  <c r="E66" i="49"/>
  <c r="E87" i="49"/>
  <c r="E78" i="49"/>
  <c r="AE40" i="49"/>
  <c r="F40" i="49"/>
  <c r="K40" i="49"/>
  <c r="AA40" i="49"/>
  <c r="W40" i="49"/>
  <c r="Z40" i="49"/>
  <c r="V40" i="49"/>
  <c r="AC40" i="49"/>
  <c r="Y40" i="49"/>
  <c r="U40" i="49"/>
  <c r="AB40" i="49"/>
  <c r="X40" i="49"/>
  <c r="T40" i="49"/>
  <c r="G80" i="49"/>
  <c r="G23" i="49"/>
  <c r="F23" i="49"/>
  <c r="F80" i="49"/>
  <c r="F40" i="51"/>
  <c r="G40" i="51" s="1"/>
  <c r="F59" i="51"/>
  <c r="G59" i="51" s="1"/>
  <c r="F42" i="51"/>
  <c r="G42" i="51" s="1"/>
  <c r="F41" i="51"/>
  <c r="G41" i="51" s="1"/>
  <c r="F58" i="51"/>
  <c r="G58" i="51" s="1"/>
  <c r="F55" i="51"/>
  <c r="G55" i="51" s="1"/>
  <c r="F57" i="51"/>
  <c r="G57" i="51" s="1"/>
  <c r="F39" i="51"/>
  <c r="G39" i="51" s="1"/>
  <c r="F54" i="51"/>
  <c r="G54" i="51" s="1"/>
  <c r="F56" i="51"/>
  <c r="G56" i="51" s="1"/>
  <c r="L68" i="49"/>
  <c r="E40" i="49"/>
  <c r="E67" i="49"/>
  <c r="E65" i="49"/>
  <c r="G66" i="49"/>
  <c r="R40" i="49"/>
  <c r="F65" i="49"/>
  <c r="N40" i="49"/>
  <c r="E68" i="49"/>
  <c r="F68" i="49"/>
  <c r="J40" i="49"/>
  <c r="E45" i="49"/>
  <c r="G67" i="49"/>
  <c r="F66" i="49"/>
  <c r="AG40" i="49"/>
  <c r="Q40" i="49"/>
  <c r="M40" i="49"/>
  <c r="I40" i="49"/>
  <c r="E44" i="49"/>
  <c r="G45" i="49"/>
  <c r="G44" i="49"/>
  <c r="AF40" i="49"/>
  <c r="P40" i="49"/>
  <c r="L40" i="49"/>
  <c r="G40" i="49"/>
  <c r="O40" i="49"/>
  <c r="AE45" i="49" l="1"/>
  <c r="K25" i="59"/>
  <c r="K20" i="59" s="1"/>
  <c r="K45" i="49"/>
  <c r="G25" i="59"/>
  <c r="G20" i="59" s="1"/>
  <c r="I25" i="59"/>
  <c r="I20" i="59" s="1"/>
  <c r="K26" i="60"/>
  <c r="K25" i="60"/>
  <c r="E26" i="60"/>
  <c r="E25" i="60"/>
  <c r="G23" i="60"/>
  <c r="G16" i="60"/>
  <c r="I16" i="60"/>
  <c r="F48" i="49"/>
  <c r="AF66" i="49"/>
  <c r="AF65" i="49"/>
  <c r="AF68" i="49"/>
  <c r="G10" i="59"/>
  <c r="G14" i="59" s="1"/>
  <c r="G22" i="59" s="1"/>
  <c r="E10" i="59"/>
  <c r="AG67" i="49"/>
  <c r="AE44" i="49"/>
  <c r="K10" i="59"/>
  <c r="K14" i="59" s="1"/>
  <c r="K22" i="59" s="1"/>
  <c r="F64" i="49"/>
  <c r="G64" i="49"/>
  <c r="E64" i="49"/>
  <c r="E48" i="49"/>
  <c r="G48" i="49"/>
  <c r="F37" i="51"/>
  <c r="G37" i="51" s="1"/>
  <c r="F38" i="51"/>
  <c r="G38" i="51" s="1"/>
  <c r="R44" i="49"/>
  <c r="AA44" i="49"/>
  <c r="W44" i="49"/>
  <c r="Z44" i="49"/>
  <c r="V44" i="49"/>
  <c r="AC44" i="49"/>
  <c r="Y44" i="49"/>
  <c r="U44" i="49"/>
  <c r="AB44" i="49"/>
  <c r="X44" i="49"/>
  <c r="T44" i="49"/>
  <c r="L65" i="49"/>
  <c r="AC65" i="49"/>
  <c r="Y65" i="49"/>
  <c r="U65" i="49"/>
  <c r="AB65" i="49"/>
  <c r="X65" i="49"/>
  <c r="T65" i="49"/>
  <c r="AA65" i="49"/>
  <c r="W65" i="49"/>
  <c r="Z65" i="49"/>
  <c r="V65" i="49"/>
  <c r="J68" i="49"/>
  <c r="AC68" i="49"/>
  <c r="Y68" i="49"/>
  <c r="U68" i="49"/>
  <c r="AB68" i="49"/>
  <c r="X68" i="49"/>
  <c r="T68" i="49"/>
  <c r="AA68" i="49"/>
  <c r="W68" i="49"/>
  <c r="Z68" i="49"/>
  <c r="V68" i="49"/>
  <c r="F87" i="49"/>
  <c r="F78" i="49"/>
  <c r="G87" i="49"/>
  <c r="G78" i="49"/>
  <c r="F35" i="51"/>
  <c r="G35" i="51" s="1"/>
  <c r="N44" i="49"/>
  <c r="K68" i="49"/>
  <c r="R68" i="49"/>
  <c r="P68" i="49"/>
  <c r="M68" i="49"/>
  <c r="AG44" i="49"/>
  <c r="P44" i="49"/>
  <c r="M44" i="49"/>
  <c r="AE65" i="49"/>
  <c r="P45" i="49"/>
  <c r="Q44" i="49"/>
  <c r="AF67" i="49"/>
  <c r="AE67" i="49"/>
  <c r="AF44" i="49"/>
  <c r="AE66" i="49"/>
  <c r="O44" i="49"/>
  <c r="AG65" i="49"/>
  <c r="R45" i="49"/>
  <c r="AG66" i="49"/>
  <c r="K44" i="49"/>
  <c r="L44" i="49"/>
  <c r="I44" i="49"/>
  <c r="J44" i="49"/>
  <c r="M65" i="49"/>
  <c r="M45" i="49"/>
  <c r="N45" i="49"/>
  <c r="J65" i="49"/>
  <c r="I65" i="49"/>
  <c r="K65" i="49"/>
  <c r="I68" i="49"/>
  <c r="O68" i="49"/>
  <c r="Q45" i="49"/>
  <c r="O45" i="49"/>
  <c r="L45" i="49"/>
  <c r="Q68" i="49"/>
  <c r="I45" i="49"/>
  <c r="N68" i="49"/>
  <c r="J45" i="49"/>
  <c r="Q65" i="49"/>
  <c r="AG68" i="49"/>
  <c r="N65" i="49"/>
  <c r="P65" i="49"/>
  <c r="R65" i="49"/>
  <c r="O65" i="49"/>
  <c r="AG45" i="49"/>
  <c r="AE68" i="49"/>
  <c r="AF45" i="49"/>
  <c r="AE48" i="49" l="1"/>
  <c r="K21" i="59"/>
  <c r="G21" i="59"/>
  <c r="E14" i="59"/>
  <c r="I26" i="60"/>
  <c r="I25" i="60"/>
  <c r="G26" i="60"/>
  <c r="G25" i="60"/>
  <c r="I10" i="59"/>
  <c r="AF64" i="49"/>
  <c r="T48" i="49"/>
  <c r="Y48" i="49"/>
  <c r="R64" i="49"/>
  <c r="Q64" i="49"/>
  <c r="L64" i="49"/>
  <c r="U48" i="49"/>
  <c r="U52" i="49" s="1"/>
  <c r="U97" i="49" s="1"/>
  <c r="Z48" i="49"/>
  <c r="Z52" i="49" s="1"/>
  <c r="Z97" i="49" s="1"/>
  <c r="N64" i="49"/>
  <c r="J48" i="49"/>
  <c r="O64" i="49"/>
  <c r="I64" i="49"/>
  <c r="K64" i="49"/>
  <c r="N48" i="49"/>
  <c r="M64" i="49"/>
  <c r="O48" i="49"/>
  <c r="V64" i="49"/>
  <c r="T64" i="49"/>
  <c r="Y64" i="49"/>
  <c r="Z64" i="49"/>
  <c r="X64" i="49"/>
  <c r="AC64" i="49"/>
  <c r="J64" i="49"/>
  <c r="I48" i="49"/>
  <c r="AF48" i="49"/>
  <c r="AG48" i="49"/>
  <c r="W64" i="49"/>
  <c r="AB64" i="49"/>
  <c r="AG64" i="49"/>
  <c r="AE64" i="49"/>
  <c r="AA64" i="49"/>
  <c r="U64" i="49"/>
  <c r="P64" i="49"/>
  <c r="T52" i="49"/>
  <c r="Y52" i="49"/>
  <c r="AA42" i="49"/>
  <c r="W42" i="49"/>
  <c r="V42" i="49"/>
  <c r="AC42" i="49"/>
  <c r="AB42" i="49"/>
  <c r="X42" i="49"/>
  <c r="F36" i="51"/>
  <c r="E33" i="59" l="1"/>
  <c r="E36" i="59" s="1"/>
  <c r="E22" i="59"/>
  <c r="E21" i="59" s="1"/>
  <c r="I14" i="59"/>
  <c r="I22" i="59" s="1"/>
  <c r="I21" i="59" s="1"/>
  <c r="E16" i="59"/>
  <c r="G33" i="59"/>
  <c r="Y93" i="49"/>
  <c r="Y97" i="49"/>
  <c r="T95" i="49"/>
  <c r="T97" i="49"/>
  <c r="Y95" i="49"/>
  <c r="Z54" i="49"/>
  <c r="Z72" i="49" s="1"/>
  <c r="Z74" i="49" s="1"/>
  <c r="Z96" i="49"/>
  <c r="Z92" i="49"/>
  <c r="Z91" i="49"/>
  <c r="Z93" i="49"/>
  <c r="Z95" i="49"/>
  <c r="Z94" i="49"/>
  <c r="T93" i="49"/>
  <c r="U54" i="49"/>
  <c r="U72" i="49" s="1"/>
  <c r="U83" i="49" s="1"/>
  <c r="U92" i="49"/>
  <c r="U91" i="49"/>
  <c r="U96" i="49"/>
  <c r="U93" i="49"/>
  <c r="U94" i="49"/>
  <c r="U95" i="49"/>
  <c r="T54" i="49"/>
  <c r="T72" i="49" s="1"/>
  <c r="T105" i="49" s="1"/>
  <c r="T108" i="49" s="1"/>
  <c r="T92" i="49"/>
  <c r="T91" i="49"/>
  <c r="T96" i="49"/>
  <c r="T94" i="49"/>
  <c r="Y54" i="49"/>
  <c r="Y72" i="49" s="1"/>
  <c r="Y74" i="49" s="1"/>
  <c r="Y96" i="49"/>
  <c r="Y92" i="49"/>
  <c r="Y91" i="49"/>
  <c r="Y94" i="49"/>
  <c r="X48" i="49"/>
  <c r="X52" i="49" s="1"/>
  <c r="X97" i="49" s="1"/>
  <c r="AB48" i="49"/>
  <c r="AB52" i="49" s="1"/>
  <c r="AB97" i="49" s="1"/>
  <c r="AA48" i="49"/>
  <c r="AA52" i="49" s="1"/>
  <c r="AA97" i="49" s="1"/>
  <c r="V48" i="49"/>
  <c r="V52" i="49" s="1"/>
  <c r="V97" i="49" s="1"/>
  <c r="W48" i="49"/>
  <c r="W52" i="49" s="1"/>
  <c r="W97" i="49" s="1"/>
  <c r="AC48" i="49"/>
  <c r="AC52" i="49" s="1"/>
  <c r="AA25" i="49"/>
  <c r="W25" i="49"/>
  <c r="V25" i="49"/>
  <c r="AC25" i="49"/>
  <c r="AB25" i="49"/>
  <c r="X25" i="49"/>
  <c r="G36" i="51"/>
  <c r="R25" i="49"/>
  <c r="Q25" i="49"/>
  <c r="M25" i="49"/>
  <c r="K25" i="49"/>
  <c r="P25" i="49"/>
  <c r="L25" i="49"/>
  <c r="R42" i="49"/>
  <c r="Q42" i="49"/>
  <c r="K42" i="49"/>
  <c r="P42" i="49"/>
  <c r="L42" i="49"/>
  <c r="M42" i="49"/>
  <c r="AG30" i="49"/>
  <c r="AF30" i="49"/>
  <c r="AE30" i="49"/>
  <c r="R30" i="49"/>
  <c r="Q30" i="49"/>
  <c r="P30" i="49"/>
  <c r="O30" i="49"/>
  <c r="N30" i="49"/>
  <c r="M30" i="49"/>
  <c r="L30" i="49"/>
  <c r="K30" i="49"/>
  <c r="J30" i="49"/>
  <c r="I30" i="49"/>
  <c r="G30" i="49"/>
  <c r="E30" i="49"/>
  <c r="F30" i="49"/>
  <c r="E35" i="59" l="1"/>
  <c r="G16" i="59"/>
  <c r="G35" i="59"/>
  <c r="G36" i="59"/>
  <c r="I33" i="59"/>
  <c r="I16" i="59"/>
  <c r="K16" i="59"/>
  <c r="K33" i="59"/>
  <c r="U90" i="49"/>
  <c r="AC92" i="49"/>
  <c r="AC97" i="49"/>
  <c r="W92" i="49"/>
  <c r="Y105" i="49"/>
  <c r="Y108" i="49" s="1"/>
  <c r="Z83" i="49"/>
  <c r="U84" i="49" s="1"/>
  <c r="U88" i="49" s="1"/>
  <c r="R48" i="49"/>
  <c r="V54" i="49"/>
  <c r="V72" i="49" s="1"/>
  <c r="V74" i="49" s="1"/>
  <c r="V91" i="49"/>
  <c r="V96" i="49"/>
  <c r="V93" i="49"/>
  <c r="V95" i="49"/>
  <c r="V94" i="49"/>
  <c r="Y83" i="49"/>
  <c r="AA54" i="49"/>
  <c r="AA72" i="49" s="1"/>
  <c r="AA83" i="49" s="1"/>
  <c r="AA96" i="49"/>
  <c r="AA91" i="49"/>
  <c r="AA93" i="49"/>
  <c r="AA95" i="49"/>
  <c r="AA94" i="49"/>
  <c r="V92" i="49"/>
  <c r="AA92" i="49"/>
  <c r="M48" i="49"/>
  <c r="Q48" i="49"/>
  <c r="AC54" i="49"/>
  <c r="AC72" i="49" s="1"/>
  <c r="AC74" i="49" s="1"/>
  <c r="AC96" i="49"/>
  <c r="AC91" i="49"/>
  <c r="AC94" i="49"/>
  <c r="AC93" i="49"/>
  <c r="AC95" i="49"/>
  <c r="X54" i="49"/>
  <c r="X72" i="49" s="1"/>
  <c r="X83" i="49" s="1"/>
  <c r="X91" i="49"/>
  <c r="X96" i="49"/>
  <c r="X93" i="49"/>
  <c r="X94" i="49"/>
  <c r="X95" i="49"/>
  <c r="L48" i="49"/>
  <c r="W54" i="49"/>
  <c r="W72" i="49" s="1"/>
  <c r="W83" i="49" s="1"/>
  <c r="W96" i="49"/>
  <c r="W91" i="49"/>
  <c r="W94" i="49"/>
  <c r="W95" i="49"/>
  <c r="W93" i="49"/>
  <c r="P48" i="49"/>
  <c r="K48" i="49"/>
  <c r="AB54" i="49"/>
  <c r="AB72" i="49" s="1"/>
  <c r="AB74" i="49" s="1"/>
  <c r="AB96" i="49"/>
  <c r="AB91" i="49"/>
  <c r="AB93" i="49"/>
  <c r="AB94" i="49"/>
  <c r="AB95" i="49"/>
  <c r="AB92" i="49"/>
  <c r="X92" i="49"/>
  <c r="T83" i="49"/>
  <c r="T90" i="49" s="1"/>
  <c r="T74" i="49"/>
  <c r="Z105" i="49"/>
  <c r="Z107" i="49" s="1"/>
  <c r="U105" i="49"/>
  <c r="U108" i="49" s="1"/>
  <c r="U74" i="49"/>
  <c r="T107" i="49"/>
  <c r="E35" i="49"/>
  <c r="E52" i="49" s="1"/>
  <c r="E97" i="49" s="1"/>
  <c r="E29" i="49"/>
  <c r="K35" i="49"/>
  <c r="K29" i="49"/>
  <c r="O35" i="49"/>
  <c r="O52" i="49" s="1"/>
  <c r="O97" i="49" s="1"/>
  <c r="O29" i="49"/>
  <c r="AE35" i="49"/>
  <c r="AE52" i="49" s="1"/>
  <c r="AE97" i="49" s="1"/>
  <c r="AE29" i="49"/>
  <c r="G35" i="49"/>
  <c r="G52" i="49" s="1"/>
  <c r="G97" i="49" s="1"/>
  <c r="G29" i="49"/>
  <c r="L35" i="49"/>
  <c r="L29" i="49"/>
  <c r="P35" i="49"/>
  <c r="P29" i="49"/>
  <c r="AF35" i="49"/>
  <c r="AF52" i="49" s="1"/>
  <c r="AF97" i="49" s="1"/>
  <c r="AF29" i="49"/>
  <c r="I35" i="49"/>
  <c r="I29" i="49"/>
  <c r="M35" i="49"/>
  <c r="M29" i="49"/>
  <c r="Q35" i="49"/>
  <c r="Q29" i="49"/>
  <c r="AG35" i="49"/>
  <c r="AG52" i="49" s="1"/>
  <c r="AG97" i="49" s="1"/>
  <c r="AG29" i="49"/>
  <c r="F35" i="49"/>
  <c r="F52" i="49" s="1"/>
  <c r="F97" i="49" s="1"/>
  <c r="F29" i="49"/>
  <c r="J35" i="49"/>
  <c r="J52" i="49" s="1"/>
  <c r="J97" i="49" s="1"/>
  <c r="J29" i="49"/>
  <c r="N35" i="49"/>
  <c r="N52" i="49" s="1"/>
  <c r="N97" i="49" s="1"/>
  <c r="N29" i="49"/>
  <c r="R35" i="49"/>
  <c r="R29" i="49"/>
  <c r="I52" i="49"/>
  <c r="I97" i="49" s="1"/>
  <c r="F126" i="47"/>
  <c r="G126" i="47" s="1"/>
  <c r="F127" i="47"/>
  <c r="G127" i="47" s="1"/>
  <c r="F128" i="47"/>
  <c r="G128" i="47" s="1"/>
  <c r="E129" i="47"/>
  <c r="H129" i="47"/>
  <c r="I36" i="59" l="1"/>
  <c r="I35" i="59"/>
  <c r="K35" i="59"/>
  <c r="K36" i="59"/>
  <c r="K52" i="49"/>
  <c r="K97" i="49" s="1"/>
  <c r="AA85" i="49"/>
  <c r="AA90" i="49"/>
  <c r="W90" i="49"/>
  <c r="Y85" i="49"/>
  <c r="Y90" i="49"/>
  <c r="Z85" i="49"/>
  <c r="Z90" i="49"/>
  <c r="X90" i="49"/>
  <c r="Y107" i="49"/>
  <c r="Q52" i="49"/>
  <c r="Q92" i="49" s="1"/>
  <c r="P52" i="49"/>
  <c r="P97" i="49" s="1"/>
  <c r="AB105" i="49"/>
  <c r="V83" i="49"/>
  <c r="R52" i="49"/>
  <c r="R95" i="49" s="1"/>
  <c r="X105" i="49"/>
  <c r="X108" i="49" s="1"/>
  <c r="AA105" i="49"/>
  <c r="AA107" i="49" s="1"/>
  <c r="X74" i="49"/>
  <c r="W105" i="49"/>
  <c r="W107" i="49" s="1"/>
  <c r="AA74" i="49"/>
  <c r="W74" i="49"/>
  <c r="AC83" i="49"/>
  <c r="T84" i="49"/>
  <c r="T88" i="49" s="1"/>
  <c r="F54" i="49"/>
  <c r="F72" i="49" s="1"/>
  <c r="F105" i="49" s="1"/>
  <c r="F96" i="49"/>
  <c r="F93" i="49"/>
  <c r="F91" i="49"/>
  <c r="F92" i="49"/>
  <c r="F94" i="49"/>
  <c r="F95" i="49"/>
  <c r="O54" i="49"/>
  <c r="O72" i="49" s="1"/>
  <c r="O74" i="49" s="1"/>
  <c r="O96" i="49"/>
  <c r="O92" i="49"/>
  <c r="O91" i="49"/>
  <c r="O93" i="49"/>
  <c r="O95" i="49"/>
  <c r="O94" i="49"/>
  <c r="AB83" i="49"/>
  <c r="I54" i="49"/>
  <c r="I72" i="49" s="1"/>
  <c r="I105" i="49" s="1"/>
  <c r="I96" i="49"/>
  <c r="I91" i="49"/>
  <c r="I92" i="49"/>
  <c r="I95" i="49"/>
  <c r="I93" i="49"/>
  <c r="I94" i="49"/>
  <c r="N54" i="49"/>
  <c r="N72" i="49" s="1"/>
  <c r="N83" i="49" s="1"/>
  <c r="N91" i="49"/>
  <c r="N92" i="49"/>
  <c r="N96" i="49"/>
  <c r="N94" i="49"/>
  <c r="N95" i="49"/>
  <c r="N93" i="49"/>
  <c r="G95" i="49"/>
  <c r="G92" i="49"/>
  <c r="G91" i="49"/>
  <c r="G94" i="49"/>
  <c r="G93" i="49"/>
  <c r="G96" i="49"/>
  <c r="E54" i="49"/>
  <c r="E72" i="49" s="1"/>
  <c r="E92" i="49"/>
  <c r="E91" i="49"/>
  <c r="E96" i="49"/>
  <c r="E94" i="49"/>
  <c r="E95" i="49"/>
  <c r="E93" i="49"/>
  <c r="AC105" i="49"/>
  <c r="AC108" i="49" s="1"/>
  <c r="J54" i="49"/>
  <c r="J72" i="49" s="1"/>
  <c r="J74" i="49" s="1"/>
  <c r="J92" i="49"/>
  <c r="J96" i="49"/>
  <c r="J91" i="49"/>
  <c r="J93" i="49"/>
  <c r="J94" i="49"/>
  <c r="J95" i="49"/>
  <c r="AG54" i="49"/>
  <c r="AG72" i="49" s="1"/>
  <c r="AG91" i="49"/>
  <c r="AG92" i="49"/>
  <c r="AG96" i="49"/>
  <c r="AG94" i="49"/>
  <c r="AG93" i="49"/>
  <c r="AG95" i="49"/>
  <c r="M52" i="49"/>
  <c r="M97" i="49" s="1"/>
  <c r="AF54" i="49"/>
  <c r="AF72" i="49" s="1"/>
  <c r="AF83" i="49" s="1"/>
  <c r="AF91" i="49"/>
  <c r="AF92" i="49"/>
  <c r="AF95" i="49"/>
  <c r="AF94" i="49"/>
  <c r="AF96" i="49"/>
  <c r="AF93" i="49"/>
  <c r="L52" i="49"/>
  <c r="L97" i="49" s="1"/>
  <c r="AE54" i="49"/>
  <c r="AE72" i="49" s="1"/>
  <c r="AE91" i="49"/>
  <c r="AE92" i="49"/>
  <c r="AE93" i="49"/>
  <c r="AE95" i="49"/>
  <c r="AE96" i="49"/>
  <c r="AE94" i="49"/>
  <c r="V105" i="49"/>
  <c r="V108" i="49" s="1"/>
  <c r="Z108" i="49"/>
  <c r="U107" i="49"/>
  <c r="G54" i="49"/>
  <c r="G72" i="49" s="1"/>
  <c r="U85" i="49"/>
  <c r="F129" i="47"/>
  <c r="E133" i="47" a="1"/>
  <c r="G129" i="47"/>
  <c r="K95" i="49" l="1"/>
  <c r="K54" i="49"/>
  <c r="K72" i="49" s="1"/>
  <c r="K74" i="49" s="1"/>
  <c r="K92" i="49"/>
  <c r="K94" i="49"/>
  <c r="K91" i="49"/>
  <c r="K93" i="49"/>
  <c r="K96" i="49"/>
  <c r="AB107" i="49"/>
  <c r="N74" i="49"/>
  <c r="AB108" i="49"/>
  <c r="X107" i="49"/>
  <c r="N85" i="49"/>
  <c r="N90" i="49"/>
  <c r="P54" i="49"/>
  <c r="P72" i="49" s="1"/>
  <c r="P83" i="49" s="1"/>
  <c r="AB85" i="49"/>
  <c r="AB90" i="49"/>
  <c r="AC85" i="49"/>
  <c r="AC90" i="49"/>
  <c r="V84" i="49"/>
  <c r="V85" i="49" s="1"/>
  <c r="V88" i="49" s="1"/>
  <c r="V90" i="49"/>
  <c r="AF90" i="49"/>
  <c r="R93" i="49"/>
  <c r="Q93" i="49"/>
  <c r="W108" i="49"/>
  <c r="F83" i="49"/>
  <c r="F90" i="49" s="1"/>
  <c r="P93" i="49"/>
  <c r="Q96" i="49"/>
  <c r="R91" i="49"/>
  <c r="Q91" i="49"/>
  <c r="Q97" i="49"/>
  <c r="X84" i="49"/>
  <c r="X85" i="49" s="1"/>
  <c r="R54" i="49"/>
  <c r="R72" i="49" s="1"/>
  <c r="R83" i="49" s="1"/>
  <c r="T85" i="49"/>
  <c r="I83" i="49"/>
  <c r="O105" i="49"/>
  <c r="R96" i="49"/>
  <c r="P94" i="49"/>
  <c r="P91" i="49"/>
  <c r="Q95" i="49"/>
  <c r="R94" i="49"/>
  <c r="P95" i="49"/>
  <c r="O83" i="49"/>
  <c r="AA108" i="49"/>
  <c r="P92" i="49"/>
  <c r="P96" i="49"/>
  <c r="Q94" i="49"/>
  <c r="Q54" i="49"/>
  <c r="Q72" i="49" s="1"/>
  <c r="Q74" i="49" s="1"/>
  <c r="N105" i="49"/>
  <c r="W84" i="49"/>
  <c r="W85" i="49" s="1"/>
  <c r="R92" i="49"/>
  <c r="R97" i="49"/>
  <c r="F74" i="49"/>
  <c r="AF105" i="49"/>
  <c r="AF85" i="49"/>
  <c r="J83" i="49"/>
  <c r="J90" i="49" s="1"/>
  <c r="I74" i="49"/>
  <c r="J105" i="49"/>
  <c r="J108" i="49" s="1"/>
  <c r="AC107" i="49"/>
  <c r="AF74" i="49"/>
  <c r="V107" i="49"/>
  <c r="L54" i="49"/>
  <c r="L72" i="49" s="1"/>
  <c r="L91" i="49"/>
  <c r="L96" i="49"/>
  <c r="L94" i="49"/>
  <c r="L95" i="49"/>
  <c r="L93" i="49"/>
  <c r="L92" i="49"/>
  <c r="M54" i="49"/>
  <c r="M72" i="49" s="1"/>
  <c r="M91" i="49"/>
  <c r="M96" i="49"/>
  <c r="M93" i="49"/>
  <c r="M94" i="49"/>
  <c r="M95" i="49"/>
  <c r="M92" i="49"/>
  <c r="AE74" i="49"/>
  <c r="AE105" i="49"/>
  <c r="AE83" i="49"/>
  <c r="G74" i="49"/>
  <c r="G105" i="49"/>
  <c r="G108" i="49" s="1"/>
  <c r="G83" i="49"/>
  <c r="G90" i="49" s="1"/>
  <c r="E74" i="49"/>
  <c r="E105" i="49"/>
  <c r="E107" i="49" s="1"/>
  <c r="E83" i="49"/>
  <c r="AG105" i="49"/>
  <c r="AG108" i="49" s="1"/>
  <c r="AG74" i="49"/>
  <c r="AG83" i="49"/>
  <c r="F107" i="49"/>
  <c r="F108" i="49"/>
  <c r="I108" i="49"/>
  <c r="I107" i="49"/>
  <c r="G134" i="47"/>
  <c r="F135" i="47"/>
  <c r="F143" i="47" s="1"/>
  <c r="E133" i="47"/>
  <c r="G133" i="47"/>
  <c r="H134" i="47"/>
  <c r="H142" i="47" s="1"/>
  <c r="H135" i="47"/>
  <c r="H143" i="47" s="1"/>
  <c r="H133" i="47"/>
  <c r="G135" i="47"/>
  <c r="F134" i="47"/>
  <c r="E134" i="47"/>
  <c r="E135" i="47"/>
  <c r="F133" i="47"/>
  <c r="W88" i="49" l="1"/>
  <c r="K105" i="49"/>
  <c r="K108" i="49" s="1"/>
  <c r="K83" i="49"/>
  <c r="K84" i="49" s="1"/>
  <c r="K85" i="49" s="1"/>
  <c r="O108" i="49"/>
  <c r="R85" i="49"/>
  <c r="R90" i="49"/>
  <c r="P74" i="49"/>
  <c r="P105" i="49"/>
  <c r="P107" i="49" s="1"/>
  <c r="E85" i="49"/>
  <c r="E90" i="49"/>
  <c r="P85" i="49"/>
  <c r="P90" i="49"/>
  <c r="AG85" i="49"/>
  <c r="AG90" i="49"/>
  <c r="J107" i="49"/>
  <c r="AE85" i="49"/>
  <c r="AE90" i="49"/>
  <c r="F85" i="49"/>
  <c r="O85" i="49"/>
  <c r="O90" i="49"/>
  <c r="I84" i="49"/>
  <c r="I88" i="49" s="1"/>
  <c r="I90" i="49"/>
  <c r="X88" i="49"/>
  <c r="O107" i="49"/>
  <c r="R74" i="49"/>
  <c r="J84" i="49"/>
  <c r="J88" i="49" s="1"/>
  <c r="N107" i="49"/>
  <c r="AF108" i="49"/>
  <c r="N108" i="49"/>
  <c r="R105" i="49"/>
  <c r="Q105" i="49"/>
  <c r="Q83" i="49"/>
  <c r="Q90" i="49" s="1"/>
  <c r="E108" i="49"/>
  <c r="AF107" i="49"/>
  <c r="L105" i="49"/>
  <c r="L83" i="49"/>
  <c r="L90" i="49" s="1"/>
  <c r="L74" i="49"/>
  <c r="M74" i="49"/>
  <c r="M105" i="49"/>
  <c r="M83" i="49"/>
  <c r="G85" i="49"/>
  <c r="G107" i="49"/>
  <c r="AG107" i="49"/>
  <c r="AE107" i="49"/>
  <c r="AE108" i="49"/>
  <c r="F142" i="47"/>
  <c r="F136" i="47"/>
  <c r="F141" i="47"/>
  <c r="G143" i="47"/>
  <c r="G141" i="47"/>
  <c r="G136" i="47"/>
  <c r="H141" i="47"/>
  <c r="H144" i="47" s="1"/>
  <c r="H136" i="47"/>
  <c r="E136" i="47"/>
  <c r="G142" i="47"/>
  <c r="K90" i="49" l="1"/>
  <c r="K107" i="49"/>
  <c r="I85" i="49"/>
  <c r="K88" i="49"/>
  <c r="J85" i="49"/>
  <c r="P108" i="49"/>
  <c r="M84" i="49"/>
  <c r="M85" i="49" s="1"/>
  <c r="M88" i="49" s="1"/>
  <c r="M90" i="49"/>
  <c r="R108" i="49"/>
  <c r="R107" i="49"/>
  <c r="Q85" i="49"/>
  <c r="Q107" i="49"/>
  <c r="Q108" i="49"/>
  <c r="L84" i="49"/>
  <c r="M108" i="49"/>
  <c r="M107" i="49"/>
  <c r="L108" i="49"/>
  <c r="L107" i="49"/>
  <c r="F144" i="47"/>
  <c r="G144" i="47"/>
  <c r="L85" i="49" l="1"/>
  <c r="L88" i="49" s="1"/>
</calcChain>
</file>

<file path=xl/sharedStrings.xml><?xml version="1.0" encoding="utf-8"?>
<sst xmlns="http://schemas.openxmlformats.org/spreadsheetml/2006/main" count="906" uniqueCount="287">
  <si>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</si>
  <si>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</si>
  <si>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</si>
  <si>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</si>
  <si>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</si>
  <si>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</si>
  <si>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</si>
  <si>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</si>
  <si>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</si>
  <si>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</si>
  <si>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</si>
  <si>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</si>
  <si>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</si>
  <si>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</si>
  <si>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</si>
  <si>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</si>
  <si>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</si>
  <si>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</si>
  <si>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</si>
  <si>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</si>
  <si>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</si>
  <si>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</si>
  <si>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</si>
  <si>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</si>
  <si>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</si>
  <si>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</si>
  <si>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</si>
  <si>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</si>
  <si>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</si>
  <si>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</si>
  <si>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</si>
  <si>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</si>
  <si>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</si>
  <si>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</si>
  <si>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</si>
  <si>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</si>
  <si>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</si>
  <si>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</si>
  <si>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</si>
  <si>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</si>
  <si>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</si>
  <si>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</si>
  <si>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</si>
  <si>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</si>
  <si>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</si>
  <si>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</si>
  <si>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</si>
  <si>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</si>
  <si>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</si>
  <si>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</si>
  <si>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</si>
  <si>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</si>
  <si>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</si>
  <si>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</si>
  <si>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</si>
  <si>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</si>
  <si>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</si>
  <si>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</si>
  <si>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</si>
  <si>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</si>
  <si>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</si>
  <si>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</si>
  <si>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</si>
  <si>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</si>
  <si>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</si>
  <si>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</si>
  <si>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</si>
  <si>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</si>
  <si>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</si>
  <si>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</si>
  <si>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</si>
  <si>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</si>
  <si>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</si>
  <si>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</si>
  <si>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</si>
  <si>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</si>
  <si>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</si>
  <si>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</si>
  <si>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</si>
  <si>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</si>
  <si>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</si>
  <si>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</si>
  <si>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</si>
  <si>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</si>
  <si>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</si>
  <si>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</si>
  <si>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</si>
  <si>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</si>
  <si>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</si>
  <si>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</si>
  <si>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</si>
  <si>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</si>
  <si>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</si>
  <si>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</si>
  <si>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NB Use Window Unfreeze Panes (on each worksheet) to have row 1 scroll with the rest of the worksheet</t>
  </si>
  <si>
    <t>Number of subscribers (simple year average)</t>
  </si>
  <si>
    <t>Email</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</si>
  <si>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</si>
  <si>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</si>
  <si>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</si>
  <si>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</si>
  <si>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</si>
  <si>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</si>
  <si>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</si>
  <si>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</si>
  <si>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</si>
  <si>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</si>
  <si>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</si>
  <si>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</si>
  <si>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</si>
  <si>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</si>
  <si>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</si>
  <si>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</si>
  <si>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</si>
  <si>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NB These styles change most aspects of a cell's formatting (all except Number and Alignment)</t>
  </si>
  <si>
    <t>NB These styles change a variety of different aspects of a cell's formatting (as appropriate to the context)</t>
  </si>
  <si>
    <t>Input Link (different Worksheet)</t>
  </si>
  <si>
    <t>An input to this part of the model, which is linked to a source on this worksheet within this workbook</t>
  </si>
  <si>
    <t>An input to this part of the model, which is linked to a source on another worksheet within this workbook</t>
  </si>
  <si>
    <r>
      <t xml:space="preserve">NB Consider using Insert &gt; Header &amp; Footer &gt; Sheet &gt; </t>
    </r>
    <r>
      <rPr>
        <u/>
        <sz val="8"/>
        <rFont val="Arial"/>
        <family val="2"/>
      </rPr>
      <t>R</t>
    </r>
    <r>
      <rPr>
        <sz val="8"/>
        <rFont val="Arial"/>
        <family val="2"/>
      </rPr>
      <t>ows to repeat at top: $1:$1 to include row 1 at the top of all printed pages</t>
    </r>
  </si>
  <si>
    <t>Style guidelines</t>
  </si>
  <si>
    <t>Sheet title</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</si>
  <si>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</si>
  <si>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</si>
  <si>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</si>
  <si>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</si>
  <si>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</si>
  <si>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Numericable</t>
  </si>
  <si>
    <t>Telenet</t>
  </si>
  <si>
    <t>Voo</t>
  </si>
  <si>
    <t>Triple Play Start</t>
  </si>
  <si>
    <t>Triple Play Extra</t>
  </si>
  <si>
    <t>Triple Play Max</t>
  </si>
  <si>
    <t>-</t>
  </si>
  <si>
    <t>Whop</t>
  </si>
  <si>
    <t>Whoppa</t>
  </si>
  <si>
    <t>Internet &amp; TV</t>
  </si>
  <si>
    <t>Duo TV NET "Un peu"</t>
  </si>
  <si>
    <t>Duo TV NET "Beaucoup"</t>
  </si>
  <si>
    <t>Duo TV NET "Passionnement"</t>
  </si>
  <si>
    <t>Duo TV NET "A la folie"</t>
  </si>
  <si>
    <t>Duo TV NET "Fiber 120"</t>
  </si>
  <si>
    <t>Trio "Un peu"</t>
  </si>
  <si>
    <t>Trio "Beaucoup"</t>
  </si>
  <si>
    <t>Trio "Passionément"</t>
  </si>
  <si>
    <t>Trio "A la folie"</t>
  </si>
  <si>
    <t>Trio "Fiber 120"</t>
  </si>
  <si>
    <t>VAT.rate</t>
  </si>
  <si>
    <t>Internet</t>
  </si>
  <si>
    <t>Modem</t>
  </si>
  <si>
    <t>NUC.TVANALOG</t>
  </si>
  <si>
    <t>TNT.TVANALOG</t>
  </si>
  <si>
    <t>VOO.TVANALOG</t>
  </si>
  <si>
    <t>TNT.EMAIL.10</t>
  </si>
  <si>
    <t>TNT.STB</t>
  </si>
  <si>
    <t>VOO.STB</t>
  </si>
  <si>
    <t>NUC.STB</t>
  </si>
  <si>
    <t>TNT.WIFI</t>
  </si>
  <si>
    <t>VOO.WIFI</t>
  </si>
  <si>
    <t>NUC.WIFI</t>
  </si>
  <si>
    <t>TNT.WEB</t>
  </si>
  <si>
    <t>NUC.WEB</t>
  </si>
  <si>
    <t xml:space="preserve">TNT.2NDSCREEN
</t>
  </si>
  <si>
    <t xml:space="preserve">VOO.2NDSCREEN
</t>
  </si>
  <si>
    <t xml:space="preserve">NUC.2NDSCREEN
</t>
  </si>
  <si>
    <t>TNT.MODEM</t>
  </si>
  <si>
    <t>VOO.MODEM</t>
  </si>
  <si>
    <t>NUC.MODEM</t>
  </si>
  <si>
    <t>NUC.MINIPREM</t>
  </si>
  <si>
    <t>TNT.SPORTING.1</t>
  </si>
  <si>
    <t>TNT.SPORTING.2</t>
  </si>
  <si>
    <t>VOO.TEL.ECO</t>
  </si>
  <si>
    <t>VOO.TEL.BLA</t>
  </si>
  <si>
    <t>NUC.TEL.START</t>
  </si>
  <si>
    <t>NUC.TEL.EXTRA</t>
  </si>
  <si>
    <t>NUC.TEL.MONDE</t>
  </si>
  <si>
    <t>TNT.TEL.EUROPE</t>
  </si>
  <si>
    <t>TNT.BB.BASIC</t>
  </si>
  <si>
    <t>TNT.BB.WHOP</t>
  </si>
  <si>
    <t>TNT.BB.WHOPPA</t>
  </si>
  <si>
    <t>VOO.BB.UNPEU</t>
  </si>
  <si>
    <t>VOO.BB.PASSION</t>
  </si>
  <si>
    <t>VOO.BB.BCP</t>
  </si>
  <si>
    <t>VOO.BB.FOLIE</t>
  </si>
  <si>
    <t>VOO.BB.FIBRE</t>
  </si>
  <si>
    <t>Discount</t>
  </si>
  <si>
    <t>NUC.DROITS</t>
  </si>
  <si>
    <t>TNT.DROITS</t>
  </si>
  <si>
    <t>Voo - Brutélé</t>
  </si>
  <si>
    <t>Voo - Nethys</t>
  </si>
  <si>
    <t>NUC.MINIPREM.STANDALONE</t>
  </si>
  <si>
    <t>liste.minus</t>
  </si>
  <si>
    <t>chosen.minus</t>
  </si>
  <si>
    <t>BRUTELE.VFOOT.STANDALONE</t>
  </si>
  <si>
    <t>BRUTELE.VFOOT2EUR</t>
  </si>
  <si>
    <t>NETHYS.VFOOT.STANDALONE</t>
  </si>
  <si>
    <t>NETHYS.VFOOT2EUR</t>
  </si>
  <si>
    <t>NUC.DROITS.AUDIOV</t>
  </si>
  <si>
    <t>BRUTELE.DROITS.AUDIOV</t>
  </si>
  <si>
    <t>NETHYS.DROITS.AUDIOV</t>
  </si>
  <si>
    <t>NUC.EMAIL.6</t>
  </si>
  <si>
    <t>BRUTELE.DROITS</t>
  </si>
  <si>
    <t>NETHYS.DROITS</t>
  </si>
  <si>
    <t>TNT.SPORTING.STANDALONE.2</t>
  </si>
  <si>
    <t>TNT.SPORTING.STANDALONE.1</t>
  </si>
  <si>
    <t>Minus 2P</t>
  </si>
  <si>
    <t>Minus TV numérique</t>
  </si>
  <si>
    <t>Minus TV analogique</t>
  </si>
  <si>
    <t>liste.minus.TVanalogique</t>
  </si>
  <si>
    <t>liste.minus.TVnumerique</t>
  </si>
  <si>
    <t>chosen.minus.TVnumerique</t>
  </si>
  <si>
    <t>chosen.minus.TVanalogique</t>
  </si>
  <si>
    <t>Total (excl. VAT)</t>
  </si>
  <si>
    <t>NUC.BB.50MBPS</t>
  </si>
  <si>
    <t>NUC.BB.100MBPS</t>
  </si>
  <si>
    <t>NUC.BB.200MBPS</t>
  </si>
  <si>
    <t>Calculation parameters: value of services, minus and adoption rates</t>
  </si>
  <si>
    <t>Decision 2013</t>
  </si>
  <si>
    <t>After transition period</t>
  </si>
  <si>
    <t>During transition period</t>
  </si>
  <si>
    <t>Value</t>
  </si>
  <si>
    <t>Calculation of wholesale tariffs - analog TV</t>
  </si>
  <si>
    <t>Calculation of wholesale tariffs - digital TV</t>
  </si>
  <si>
    <t>Components of the retail product</t>
  </si>
  <si>
    <t>Reference retail price of the Digital TV offering (including analog TV)</t>
  </si>
  <si>
    <t>Reference retail price (new)</t>
  </si>
  <si>
    <t>Old reference retail price</t>
  </si>
  <si>
    <t>Difference (%)</t>
  </si>
  <si>
    <t>Analysis of evolution of reference retail price</t>
  </si>
  <si>
    <t>Decoder</t>
  </si>
  <si>
    <t>Other effects</t>
  </si>
  <si>
    <t>New reference retail price</t>
  </si>
  <si>
    <t>Price of the decoder</t>
  </si>
  <si>
    <t>Minus and wholesal tariffs</t>
  </si>
  <si>
    <t>Minus - FINAL</t>
  </si>
  <si>
    <t>Old minus</t>
  </si>
  <si>
    <t>Wholesale price - FINAL</t>
  </si>
  <si>
    <t>Old wholesal price</t>
  </si>
  <si>
    <t>Difference (absolut)</t>
  </si>
  <si>
    <t>Digital TV</t>
  </si>
  <si>
    <t>Retail products commercialized by the cable operators ----&gt;</t>
  </si>
  <si>
    <t>Analog TV</t>
  </si>
  <si>
    <t>Reference retail price of the Analog TV offering</t>
  </si>
  <si>
    <t>Calculation of wholesale tariffs - multiplay</t>
  </si>
  <si>
    <t>TV (excluding copyright)</t>
  </si>
  <si>
    <t>Content 1</t>
  </si>
  <si>
    <t>Content 2</t>
  </si>
  <si>
    <t>2nd screen</t>
  </si>
  <si>
    <t>Fixed Telephony 1</t>
  </si>
  <si>
    <t>Fixed Telephony 2</t>
  </si>
  <si>
    <t>Top-down composition of pack</t>
  </si>
  <si>
    <t>Retail price without decoder (incl. VAT)</t>
  </si>
  <si>
    <t>Decoder rental fee (incl. VAT)</t>
  </si>
  <si>
    <t>Retail price incl. decoder (incl. VAT)</t>
  </si>
  <si>
    <t>Retail price incl. decoder (excl VAT)</t>
  </si>
  <si>
    <t>Price of discounted premium content  (incl. VAT)</t>
  </si>
  <si>
    <t>Discounted premium content</t>
  </si>
  <si>
    <t>Retail price to consider (incl. VAT)</t>
  </si>
  <si>
    <t>Retail price to consider (excl. VAT)</t>
  </si>
  <si>
    <t>Deduction of VAT</t>
  </si>
  <si>
    <t>Deduction of copyrights (excl. VAT)</t>
  </si>
  <si>
    <t>Copyrights</t>
  </si>
  <si>
    <t>Applicable retail price (excl. VAT and copyrights)</t>
  </si>
  <si>
    <t>Value of standalone services</t>
  </si>
  <si>
    <t>TV (excl. copyrights)</t>
  </si>
  <si>
    <t>Components of the retail product (bottom-up)</t>
  </si>
  <si>
    <t>Multiplay bundle discount top-down/bottom-up</t>
  </si>
  <si>
    <t>Out of bundle reculculated retail price</t>
  </si>
  <si>
    <t>Elements to deduct from 1P BB offer</t>
  </si>
  <si>
    <t>Wifi</t>
  </si>
  <si>
    <t>Webspace</t>
  </si>
  <si>
    <t>Elements to deduct</t>
  </si>
  <si>
    <t>Value of element to deduct (after discount)</t>
  </si>
  <si>
    <t>Reference retail price "TV+Internet"</t>
  </si>
  <si>
    <t>Fixed telephony</t>
  </si>
  <si>
    <t>Retail price (excl. VAT)</t>
  </si>
  <si>
    <t>Other services (incl. modem, extra services, telephony)</t>
  </si>
  <si>
    <t>Impact of "3P vs. 2P effect"</t>
  </si>
  <si>
    <t>New reference tariff</t>
  </si>
  <si>
    <t>Detail of the impact of the extra services</t>
  </si>
  <si>
    <t>Telephony</t>
  </si>
  <si>
    <t>Content</t>
  </si>
  <si>
    <t>Minus and wholesale tariffs</t>
  </si>
  <si>
    <t>Adoption rate (%)</t>
  </si>
  <si>
    <t>Price (incl. VAT)</t>
  </si>
  <si>
    <t>Price (excl. VAT)</t>
  </si>
  <si>
    <t>TV (excl. royalties)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</si>
</sst>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0_);[Red]\-#,##0_);0_);@_)"/>
    <numFmt numFmtId="165" formatCode="#,##0.00_);[Red]\-#,##0.00_);0.00_);@_)"/>
    <numFmt numFmtId="166" formatCode="#,##0%;[Red]\-#,##0%;0%;@_)"/>
    <numFmt numFmtId="167" formatCode="#,##0.00%;[Red]\-#,##0.00%;0.00%;@_)"/>
    <numFmt numFmtId="168" formatCode="dd\ mmm\ yy_)"/>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USD]\ * _(#,##0_);[Red][$USD]\ * \(#,##0\);[$USD]\ * _(&quot;-&quot;?_);@_)"/>
    <numFmt numFmtId="178" formatCode="[$USD]\ * _(#,##0.00_);[Red][$USD]\ * \(#,##0.00\);[$USD]\ * _(&quot;-&quot;?_);@_)"/>
    <numFmt numFmtId="179" formatCode="\£\ * _(#,##0_);[Red]\£\ * \(#,##0\);\£\ * _(&quot;-&quot;?_);@_)"/>
    <numFmt numFmtId="180" formatCode="\£\ * _(#,##0.00_);[Red]\£\ * \(#,##0.00\);\£\ * _(&quot;-&quot;?_);@_)"/>
    <numFmt numFmtId="181" formatCode="[$GBP]\ * _(#,##0_);[Red][$GBP]\ * \(#,##0\);[$GBP]\ * _(&quot;-&quot;?_);@_)"/>
    <numFmt numFmtId="182" formatCode="[$GBP]\ * _(#,##0.00_);[Red][$GBP]\ * \(#,##0.00\);[$GBP]\ * _(&quot;-&quot;?_);@_)"/>
    <numFmt numFmtId="183" formatCode="mmm\ yy_)"/>
    <numFmt numFmtId="184" formatCode="yyyy_)"/>
    <numFmt numFmtId="185" formatCode="#,##0_);[Red]\-#,##0_);&quot;-&quot;?_);@_)"/>
    <numFmt numFmtId="186" formatCode="#,##0.00_);[Red]\-#,##0.00_);&quot;-&quot;?_);@_)"/>
    <numFmt numFmtId="187" formatCode="#,##0%;[Red]\-#,##0%;&quot;-&quot;\%;@_)"/>
    <numFmt numFmtId="188" formatCode="#,##0.00%;[Red]\-#,##0.00%;&quot;-&quot;\%;@_)"/>
    <numFmt numFmtId="189" formatCode="#,##0.00000000000000;[Red]#,##0.00000000000000"/>
    <numFmt numFmtId="190" formatCode="#,##0.00;[Red]#,##0.00"/>
  </numFmts>
  <fonts count="15"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u/>
      <sz val="8"/>
      <name val="Arial"/>
      <family val="2"/>
    </font>
    <font>
      <i/>
      <sz val="9"/>
      <color rgb="FFC41230"/>
      <name val="Arial"/>
      <family val="2"/>
    </font>
    <font>
      <b/>
      <sz val="9"/>
      <color rgb="FFFFFFFF"/>
      <name val="Arial"/>
      <family val="2"/>
    </font>
    <font>
      <sz val="9"/>
      <color rgb="FFFFFFFF"/>
      <name val="Arial"/>
      <family val="2"/>
    </font>
    <font>
      <i/>
      <sz val="9"/>
      <name val="Arial"/>
      <family val="2"/>
    </font>
  </fonts>
  <fills count="17">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41"/>
        <bgColor indexed="64"/>
      </patternFill>
    </fill>
    <fill>
      <patternFill patternType="solid">
        <fgColor theme="9" tint="0.59999389629810485"/>
        <bgColor indexed="64"/>
      </patternFill>
    </fill>
    <fill>
      <patternFill patternType="solid">
        <fgColor theme="8" tint="0.39997558519241921"/>
        <bgColor indexed="64"/>
      </patternFill>
    </fill>
  </fills>
  <borders count="8">
    <border>
      <left/>
      <right/>
      <top/>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style="medium">
        <color indexed="41"/>
      </top>
      <bottom/>
      <diagonal/>
    </border>
  </borders>
  <cellStyleXfs count="59">
    <xf numFmtId="0" fontId="0" fillId="0" borderId="0">
      <alignment vertical="center"/>
    </xf>
    <xf numFmtId="0" fontId="2" fillId="0" borderId="0" applyNumberFormat="0" applyAlignment="0">
      <alignment vertical="center"/>
    </xf>
    <xf numFmtId="165" fontId="8" fillId="0" borderId="0" applyNumberFormat="0" applyAlignment="0">
      <alignment vertical="center"/>
    </xf>
    <xf numFmtId="0" fontId="12" fillId="10" borderId="0" applyNumberFormat="0">
      <alignment horizontal="center" vertical="top" wrapText="1"/>
    </xf>
    <xf numFmtId="0" fontId="12" fillId="8" borderId="0" applyNumberFormat="0">
      <alignment horizontal="left" vertical="top" wrapText="1"/>
    </xf>
    <xf numFmtId="0" fontId="12" fillId="8" borderId="0" applyNumberFormat="0">
      <alignment horizontal="centerContinuous" vertical="top"/>
    </xf>
    <xf numFmtId="0" fontId="13" fillId="8" borderId="0" applyNumberFormat="0">
      <alignment horizontal="center" vertical="top" wrapText="1"/>
    </xf>
    <xf numFmtId="169" fontId="2" fillId="0" borderId="0" applyFont="0" applyFill="0" applyBorder="0" applyAlignment="0" applyProtection="0">
      <alignment vertical="center"/>
    </xf>
    <xf numFmtId="169" fontId="2" fillId="0" borderId="0" applyFont="0" applyFill="0" applyBorder="0" applyAlignment="0" applyProtection="0">
      <alignment vertical="center"/>
    </xf>
    <xf numFmtId="170"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71" fontId="2" fillId="0" borderId="0" applyFont="0" applyFill="0" applyBorder="0" applyAlignment="0" applyProtection="0">
      <alignment vertical="center"/>
    </xf>
    <xf numFmtId="172" fontId="2" fillId="0" borderId="0" applyFont="0" applyFill="0" applyBorder="0" applyAlignment="0" applyProtection="0">
      <alignment vertical="center"/>
    </xf>
    <xf numFmtId="181" fontId="2" fillId="0" borderId="0" applyFont="0" applyFill="0" applyBorder="0" applyAlignment="0" applyProtection="0">
      <alignment vertical="center"/>
    </xf>
    <xf numFmtId="182" fontId="2" fillId="0" borderId="0" applyFont="0" applyFill="0" applyBorder="0" applyAlignment="0" applyProtection="0">
      <alignment vertical="center"/>
    </xf>
    <xf numFmtId="179" fontId="2" fillId="0" borderId="0" applyFont="0" applyFill="0" applyBorder="0" applyAlignment="0" applyProtection="0">
      <alignment vertical="center"/>
    </xf>
    <xf numFmtId="180"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68" fontId="2" fillId="0" borderId="0" applyFont="0" applyFill="0" applyBorder="0" applyAlignment="0" applyProtection="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2" fillId="11" borderId="0" applyNumberFormat="0" applyFont="0" applyBorder="0" applyAlignment="0" applyProtection="0">
      <alignment vertical="center"/>
    </xf>
    <xf numFmtId="0" fontId="2" fillId="0" borderId="6" applyNumberFormat="0" applyAlignment="0">
      <alignment vertical="center"/>
    </xf>
    <xf numFmtId="0" fontId="2" fillId="0" borderId="2" applyNumberFormat="0" applyAlignment="0">
      <alignment vertical="center"/>
      <protection locked="0"/>
    </xf>
    <xf numFmtId="164" fontId="2" fillId="3" borderId="2" applyNumberFormat="0" applyAlignment="0">
      <alignment vertical="center"/>
      <protection locked="0"/>
    </xf>
    <xf numFmtId="0" fontId="2" fillId="4" borderId="0" applyNumberFormat="0" applyAlignment="0">
      <alignment vertical="center"/>
    </xf>
    <xf numFmtId="0" fontId="2" fillId="6" borderId="0" applyNumberFormat="0" applyAlignment="0">
      <alignment vertical="center"/>
    </xf>
    <xf numFmtId="0" fontId="2" fillId="5" borderId="0" applyNumberFormat="0" applyAlignment="0">
      <alignment vertical="center"/>
    </xf>
    <xf numFmtId="0" fontId="2" fillId="0" borderId="1" applyNumberFormat="0" applyAlignment="0">
      <alignment vertical="center"/>
      <protection locked="0"/>
    </xf>
    <xf numFmtId="0" fontId="11" fillId="0" borderId="0" applyNumberFormat="0" applyAlignment="0">
      <alignment vertical="center"/>
    </xf>
    <xf numFmtId="0" fontId="7" fillId="0" borderId="0" applyNumberFormat="0" applyFill="0" applyBorder="0" applyAlignment="0" applyProtection="0">
      <alignment vertical="center"/>
    </xf>
    <xf numFmtId="185" fontId="2" fillId="0" borderId="0" applyFont="0" applyFill="0" applyBorder="0" applyAlignment="0" applyProtection="0">
      <alignment vertical="center"/>
    </xf>
    <xf numFmtId="186" fontId="2" fillId="0" borderId="0" applyFont="0" applyFill="0" applyBorder="0" applyAlignment="0" applyProtection="0">
      <alignment vertical="center"/>
    </xf>
    <xf numFmtId="0" fontId="2" fillId="7" borderId="0" applyNumberFormat="0" applyFont="0" applyBorder="0" applyAlignment="0" applyProtection="0">
      <alignment vertical="center"/>
    </xf>
    <xf numFmtId="187" fontId="2" fillId="0" borderId="0" applyFont="0" applyFill="0" applyBorder="0" applyAlignment="0" applyProtection="0">
      <alignment horizontal="right" vertical="center"/>
    </xf>
    <xf numFmtId="188" fontId="2" fillId="0" borderId="0" applyFont="0" applyFill="0" applyBorder="0" applyAlignment="0" applyProtection="0">
      <alignment vertical="center"/>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164" fontId="5" fillId="0" borderId="3" applyNumberFormat="0" applyFill="0" applyAlignment="0" applyProtection="0">
      <alignment vertical="center"/>
    </xf>
    <xf numFmtId="164" fontId="2" fillId="0" borderId="4" applyNumberFormat="0" applyFont="0" applyFill="0" applyAlignment="0" applyProtection="0">
      <alignment vertical="center"/>
    </xf>
    <xf numFmtId="0" fontId="2" fillId="2" borderId="0" applyNumberFormat="0" applyFont="0" applyBorder="0" applyAlignment="0" applyProtection="0">
      <alignment vertical="center"/>
    </xf>
    <xf numFmtId="0" fontId="2" fillId="0" borderId="0" applyNumberFormat="0" applyFont="0" applyFill="0" applyAlignment="0" applyProtection="0">
      <alignment vertical="center"/>
    </xf>
    <xf numFmtId="164"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164" fontId="5" fillId="0" borderId="0" applyNumberFormat="0" applyFill="0" applyBorder="0" applyAlignment="0" applyProtection="0">
      <alignment vertical="center"/>
    </xf>
    <xf numFmtId="164" fontId="5" fillId="9"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2" fillId="0" borderId="0">
      <alignment vertical="center"/>
    </xf>
    <xf numFmtId="0" fontId="6" fillId="0" borderId="0" applyFill="0" applyBorder="0" applyAlignment="0" applyProtection="0">
      <alignment vertical="center"/>
    </xf>
    <xf numFmtId="0" fontId="3" fillId="0" borderId="0" applyFill="0" applyBorder="0" applyAlignment="0" applyProtection="0">
      <alignment vertical="center"/>
    </xf>
    <xf numFmtId="0" fontId="6" fillId="14" borderId="0" applyNumberFormat="0">
      <alignment vertical="center"/>
    </xf>
  </cellStyleXfs>
  <cellXfs count="127">
    <xf numFmtId="0" fontId="0" fillId="0" borderId="0" xfId="0">
      <alignment vertical="center"/>
    </xf>
    <xf numFmtId="0" fontId="12" fillId="10" borderId="0" xfId="3">
      <alignment horizontal="center" vertical="top" wrapText="1"/>
    </xf>
    <xf numFmtId="185" fontId="0" fillId="0" borderId="0" xfId="38" applyFont="1">
      <alignment vertical="center"/>
    </xf>
    <xf numFmtId="0" fontId="2" fillId="0" borderId="0" xfId="44">
      <alignment horizontal="left" vertical="center" wrapText="1" indent="1"/>
    </xf>
    <xf numFmtId="0" fontId="5" fillId="0" borderId="0" xfId="43">
      <alignment horizontal="left" vertical="center" wrapText="1"/>
    </xf>
    <xf numFmtId="0" fontId="5" fillId="9" borderId="0" xfId="52" applyNumberFormat="1" applyAlignment="1">
      <alignment horizontal="left" vertical="center" wrapText="1"/>
    </xf>
    <xf numFmtId="0" fontId="5" fillId="0" borderId="3" xfId="45" applyNumberFormat="1" applyAlignment="1">
      <alignment horizontal="left" vertical="center" wrapText="1" indent="1"/>
    </xf>
    <xf numFmtId="0" fontId="4" fillId="0" borderId="0" xfId="25">
      <alignment vertical="center"/>
    </xf>
    <xf numFmtId="164" fontId="2" fillId="0" borderId="1" xfId="35" applyNumberFormat="1">
      <alignment vertical="center"/>
      <protection locked="0"/>
    </xf>
    <xf numFmtId="164" fontId="2" fillId="0" borderId="6" xfId="29" applyNumberFormat="1">
      <alignment vertical="center"/>
    </xf>
    <xf numFmtId="164" fontId="2" fillId="0" borderId="2" xfId="30" applyNumberFormat="1">
      <alignment vertical="center"/>
      <protection locked="0"/>
    </xf>
    <xf numFmtId="164" fontId="2" fillId="4" borderId="0" xfId="32" applyNumberFormat="1">
      <alignment vertical="center"/>
    </xf>
    <xf numFmtId="164" fontId="2" fillId="0" borderId="0" xfId="1" applyNumberFormat="1">
      <alignment vertical="center"/>
    </xf>
    <xf numFmtId="164" fontId="2" fillId="7" borderId="0" xfId="40" applyNumberFormat="1">
      <alignment vertical="center"/>
    </xf>
    <xf numFmtId="164" fontId="2" fillId="11" borderId="0" xfId="28" applyNumberFormat="1">
      <alignment vertical="center"/>
    </xf>
    <xf numFmtId="186" fontId="0" fillId="0" borderId="0" xfId="39" applyFont="1">
      <alignment vertical="center"/>
    </xf>
    <xf numFmtId="169" fontId="0" fillId="0" borderId="0" xfId="7" applyFont="1">
      <alignment vertical="center"/>
    </xf>
    <xf numFmtId="170" fontId="0" fillId="0" borderId="0" xfId="9" applyFont="1">
      <alignment vertical="center"/>
    </xf>
    <xf numFmtId="171" fontId="0" fillId="0" borderId="0" xfId="14" applyFont="1">
      <alignment vertical="center"/>
    </xf>
    <xf numFmtId="172" fontId="0" fillId="0" borderId="0" xfId="15" applyFont="1">
      <alignment vertical="center"/>
    </xf>
    <xf numFmtId="173" fontId="0" fillId="0" borderId="0" xfId="12" applyFont="1">
      <alignment vertical="center"/>
    </xf>
    <xf numFmtId="174" fontId="0" fillId="0" borderId="0" xfId="13" applyFont="1">
      <alignment vertical="center"/>
    </xf>
    <xf numFmtId="168" fontId="0" fillId="0" borderId="0" xfId="22" applyFont="1">
      <alignment vertical="center"/>
    </xf>
    <xf numFmtId="0" fontId="7" fillId="0" borderId="0" xfId="37">
      <alignment vertical="center"/>
    </xf>
    <xf numFmtId="175" fontId="0" fillId="0" borderId="0" xfId="10" applyFont="1">
      <alignment vertical="center"/>
    </xf>
    <xf numFmtId="176" fontId="0" fillId="0" borderId="0" xfId="11" applyFont="1">
      <alignment vertical="center"/>
    </xf>
    <xf numFmtId="177" fontId="0" fillId="0" borderId="0" xfId="20" applyFont="1">
      <alignment vertical="center"/>
    </xf>
    <xf numFmtId="178" fontId="0" fillId="0" borderId="0" xfId="21" applyFont="1">
      <alignment vertical="center"/>
    </xf>
    <xf numFmtId="179" fontId="0" fillId="0" borderId="0" xfId="18" applyFont="1">
      <alignment vertical="center"/>
    </xf>
    <xf numFmtId="180" fontId="0" fillId="0" borderId="0" xfId="19" applyFont="1">
      <alignment vertical="center"/>
    </xf>
    <xf numFmtId="181" fontId="0" fillId="0" borderId="0" xfId="16" applyFont="1">
      <alignment vertical="center"/>
    </xf>
    <xf numFmtId="182" fontId="0" fillId="0" borderId="0" xfId="17" applyFont="1">
      <alignment vertical="center"/>
    </xf>
    <xf numFmtId="184" fontId="0" fillId="0" borderId="0" xfId="24" applyFont="1">
      <alignment vertical="center"/>
    </xf>
    <xf numFmtId="0" fontId="5" fillId="0" borderId="0" xfId="27">
      <alignment vertical="center"/>
    </xf>
    <xf numFmtId="0" fontId="1" fillId="0" borderId="0" xfId="26" applyAlignment="1">
      <alignment vertical="center"/>
    </xf>
    <xf numFmtId="0" fontId="5" fillId="0" borderId="3" xfId="45" applyNumberFormat="1">
      <alignment vertical="center"/>
    </xf>
    <xf numFmtId="0" fontId="5" fillId="9" borderId="0" xfId="52" applyNumberFormat="1">
      <alignment vertical="center"/>
    </xf>
    <xf numFmtId="0" fontId="0" fillId="2" borderId="0" xfId="47" applyFont="1">
      <alignment vertical="center"/>
    </xf>
    <xf numFmtId="0" fontId="0" fillId="0" borderId="4" xfId="46" applyNumberFormat="1" applyFont="1">
      <alignment vertical="center"/>
    </xf>
    <xf numFmtId="164" fontId="11" fillId="0" borderId="0" xfId="36" applyNumberFormat="1">
      <alignment vertical="center"/>
    </xf>
    <xf numFmtId="164" fontId="7" fillId="0" borderId="0" xfId="37" applyNumberFormat="1">
      <alignment vertical="center"/>
    </xf>
    <xf numFmtId="0" fontId="0" fillId="0" borderId="0" xfId="0">
      <alignment vertical="center"/>
    </xf>
    <xf numFmtId="0" fontId="11" fillId="0" borderId="0" xfId="36">
      <alignment vertical="center"/>
    </xf>
    <xf numFmtId="0" fontId="0" fillId="11" borderId="0" xfId="28" applyFont="1">
      <alignment vertical="center"/>
    </xf>
    <xf numFmtId="0" fontId="7" fillId="0" borderId="0" xfId="37" applyFont="1">
      <alignment vertical="center"/>
    </xf>
    <xf numFmtId="164" fontId="0" fillId="2" borderId="0" xfId="47" applyNumberFormat="1" applyFont="1">
      <alignment vertical="center"/>
    </xf>
    <xf numFmtId="166" fontId="0" fillId="2" borderId="0" xfId="47" applyNumberFormat="1" applyFont="1">
      <alignment vertical="center"/>
    </xf>
    <xf numFmtId="166" fontId="0" fillId="0" borderId="0" xfId="49" applyNumberFormat="1" applyFont="1">
      <alignment vertical="center"/>
    </xf>
    <xf numFmtId="167" fontId="0" fillId="0" borderId="0" xfId="49" applyNumberFormat="1" applyFont="1">
      <alignment vertical="center"/>
    </xf>
    <xf numFmtId="0" fontId="0" fillId="0" borderId="0" xfId="53" applyFont="1">
      <alignment vertical="center"/>
    </xf>
    <xf numFmtId="164" fontId="2" fillId="0" borderId="0" xfId="53" applyNumberFormat="1">
      <alignment vertical="center"/>
    </xf>
    <xf numFmtId="0" fontId="0" fillId="0" borderId="0" xfId="49" applyNumberFormat="1" applyFont="1">
      <alignment vertical="center"/>
    </xf>
    <xf numFmtId="164" fontId="2" fillId="3" borderId="2" xfId="31">
      <alignment vertical="center"/>
      <protection locked="0"/>
    </xf>
    <xf numFmtId="0" fontId="5" fillId="0" borderId="0" xfId="43" applyAlignment="1">
      <alignment horizontal="left" vertical="center" wrapText="1"/>
    </xf>
    <xf numFmtId="0" fontId="0" fillId="0" borderId="0" xfId="0" applyBorder="1">
      <alignment vertical="center"/>
    </xf>
    <xf numFmtId="164" fontId="5" fillId="9" borderId="0" xfId="52">
      <alignment vertical="center"/>
    </xf>
    <xf numFmtId="164" fontId="5" fillId="7" borderId="0" xfId="40" applyNumberFormat="1" applyFont="1">
      <alignment vertical="center"/>
    </xf>
    <xf numFmtId="0" fontId="5" fillId="7" borderId="0" xfId="40" applyFont="1" applyAlignment="1">
      <alignment horizontal="left" vertical="center" wrapText="1"/>
    </xf>
    <xf numFmtId="165" fontId="8" fillId="0" borderId="0" xfId="2">
      <alignment vertical="center"/>
    </xf>
    <xf numFmtId="0" fontId="12" fillId="8" borderId="0" xfId="4">
      <alignment horizontal="left" vertical="top" wrapText="1"/>
    </xf>
    <xf numFmtId="0" fontId="13" fillId="8" borderId="0" xfId="6">
      <alignment horizontal="center" vertical="top" wrapText="1"/>
    </xf>
    <xf numFmtId="164" fontId="2" fillId="6" borderId="0" xfId="33" applyNumberFormat="1">
      <alignment vertical="center"/>
    </xf>
    <xf numFmtId="164" fontId="5" fillId="0" borderId="0" xfId="51">
      <alignment vertical="center"/>
    </xf>
    <xf numFmtId="0" fontId="12" fillId="8" borderId="0" xfId="5">
      <alignment horizontal="centerContinuous" vertical="top"/>
    </xf>
    <xf numFmtId="183" fontId="0" fillId="0" borderId="0" xfId="23" applyFont="1">
      <alignment vertical="center"/>
    </xf>
    <xf numFmtId="0" fontId="5" fillId="7" borderId="0" xfId="4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5" borderId="0" xfId="34">
      <alignment vertical="center"/>
    </xf>
    <xf numFmtId="0" fontId="5" fillId="11" borderId="0" xfId="28" applyFont="1">
      <alignment vertical="center"/>
    </xf>
    <xf numFmtId="0" fontId="5" fillId="2" borderId="3" xfId="45" applyNumberFormat="1" applyFill="1">
      <alignment vertical="center"/>
    </xf>
    <xf numFmtId="0" fontId="6" fillId="0" borderId="0" xfId="56">
      <alignment vertical="center"/>
    </xf>
    <xf numFmtId="0" fontId="3" fillId="0" borderId="0" xfId="57">
      <alignment vertical="center"/>
    </xf>
    <xf numFmtId="0" fontId="6" fillId="0" borderId="0" xfId="56" applyFill="1" applyBorder="1">
      <alignment vertical="center"/>
    </xf>
    <xf numFmtId="0" fontId="6" fillId="0" borderId="0" xfId="56" applyFill="1">
      <alignment vertical="center"/>
    </xf>
    <xf numFmtId="187" fontId="0" fillId="0" borderId="0" xfId="41" applyFont="1" applyAlignment="1">
      <alignment vertical="center"/>
    </xf>
    <xf numFmtId="188" fontId="0" fillId="0" borderId="0" xfId="42" applyFont="1">
      <alignment vertical="center"/>
    </xf>
    <xf numFmtId="164" fontId="2" fillId="0" borderId="5" xfId="30" applyNumberFormat="1" applyBorder="1">
      <alignment vertical="center"/>
      <protection locked="0"/>
    </xf>
    <xf numFmtId="0" fontId="5" fillId="0" borderId="0" xfId="0" applyFont="1">
      <alignment vertical="center"/>
    </xf>
    <xf numFmtId="0" fontId="6" fillId="0" borderId="0" xfId="58" applyFill="1" applyBorder="1">
      <alignment vertical="center"/>
    </xf>
    <xf numFmtId="0" fontId="6" fillId="0" borderId="0" xfId="58" applyFont="1" applyFill="1">
      <alignment vertical="center"/>
    </xf>
    <xf numFmtId="9" fontId="2" fillId="0" borderId="2" xfId="30" applyNumberFormat="1">
      <alignment vertical="center"/>
      <protection locked="0"/>
    </xf>
    <xf numFmtId="186" fontId="2" fillId="0" borderId="2" xfId="30" applyNumberFormat="1">
      <alignment vertical="center"/>
      <protection locked="0"/>
    </xf>
    <xf numFmtId="186" fontId="2" fillId="0" borderId="6" xfId="29" applyNumberFormat="1">
      <alignment vertical="center"/>
    </xf>
    <xf numFmtId="0" fontId="2" fillId="0" borderId="2" xfId="30">
      <alignment vertical="center"/>
      <protection locked="0"/>
    </xf>
    <xf numFmtId="186" fontId="2" fillId="0" borderId="2" xfId="39" applyBorder="1" applyProtection="1">
      <alignment vertical="center"/>
      <protection locked="0"/>
    </xf>
    <xf numFmtId="186" fontId="2" fillId="0" borderId="2" xfId="39" applyBorder="1" applyAlignment="1" applyProtection="1">
      <protection locked="0"/>
    </xf>
    <xf numFmtId="187" fontId="2" fillId="4" borderId="0" xfId="41" applyFill="1" applyAlignment="1">
      <alignment vertical="center"/>
    </xf>
    <xf numFmtId="187" fontId="2" fillId="0" borderId="2" xfId="41" applyBorder="1" applyAlignment="1" applyProtection="1">
      <alignment vertical="center"/>
      <protection locked="0"/>
    </xf>
    <xf numFmtId="0" fontId="0" fillId="0" borderId="7" xfId="0" applyBorder="1">
      <alignment vertical="center"/>
    </xf>
    <xf numFmtId="0" fontId="12" fillId="8" borderId="0" xfId="4" applyAlignment="1">
      <alignment horizontal="left" vertical="top"/>
    </xf>
    <xf numFmtId="0" fontId="5" fillId="0" borderId="0" xfId="43" applyAlignment="1">
      <alignment horizontal="left" vertical="center"/>
    </xf>
    <xf numFmtId="0" fontId="5" fillId="0" borderId="0" xfId="54" applyFont="1" applyAlignment="1">
      <alignment horizontal="left" vertical="center"/>
    </xf>
    <xf numFmtId="187" fontId="2" fillId="0" borderId="2" xfId="30" applyNumberFormat="1" applyAlignment="1">
      <alignment vertical="center"/>
      <protection locked="0"/>
    </xf>
    <xf numFmtId="0" fontId="2" fillId="0" borderId="1" xfId="35">
      <alignment vertical="center"/>
      <protection locked="0"/>
    </xf>
    <xf numFmtId="0" fontId="0" fillId="0" borderId="0" xfId="0" applyAlignment="1">
      <alignment horizontal="left" vertical="center" indent="1"/>
    </xf>
    <xf numFmtId="187" fontId="2" fillId="0" borderId="6" xfId="29" applyNumberFormat="1" applyAlignment="1">
      <alignment vertical="center"/>
    </xf>
    <xf numFmtId="0" fontId="5" fillId="0" borderId="0" xfId="43" applyFill="1" applyBorder="1">
      <alignment horizontal="left" vertical="center" wrapText="1"/>
    </xf>
    <xf numFmtId="0" fontId="5" fillId="0" borderId="0" xfId="54" applyFont="1" applyAlignment="1">
      <alignment horizontal="left" vertical="center" wrapText="1"/>
    </xf>
    <xf numFmtId="9" fontId="2" fillId="0" borderId="1" xfId="35" applyNumberFormat="1">
      <alignment vertical="center"/>
      <protection locked="0"/>
    </xf>
    <xf numFmtId="186" fontId="2" fillId="0" borderId="2" xfId="30" applyNumberFormat="1" applyAlignment="1">
      <alignment vertical="center"/>
      <protection locked="0"/>
    </xf>
    <xf numFmtId="186" fontId="2" fillId="7" borderId="6" xfId="39" applyFill="1" applyBorder="1" applyAlignment="1">
      <alignment vertical="center"/>
    </xf>
    <xf numFmtId="186" fontId="2" fillId="4" borderId="0" xfId="32" applyNumberFormat="1">
      <alignment vertical="center"/>
    </xf>
    <xf numFmtId="0" fontId="5" fillId="15" borderId="0" xfId="0" applyFont="1" applyFill="1">
      <alignment vertical="center"/>
    </xf>
    <xf numFmtId="0" fontId="14" fillId="0" borderId="0" xfId="0" applyFont="1">
      <alignment vertical="center"/>
    </xf>
    <xf numFmtId="187" fontId="2" fillId="3" borderId="2" xfId="31" applyNumberFormat="1" applyAlignment="1">
      <alignment vertical="center"/>
      <protection locked="0"/>
    </xf>
    <xf numFmtId="0" fontId="2" fillId="0" borderId="6" xfId="29">
      <alignment vertical="center"/>
    </xf>
    <xf numFmtId="189" fontId="0" fillId="0" borderId="0" xfId="0" applyNumberFormat="1">
      <alignment vertical="center"/>
    </xf>
    <xf numFmtId="0" fontId="0" fillId="0" borderId="0" xfId="0" applyAlignment="1">
      <alignment horizontal="left" vertical="center" indent="2"/>
    </xf>
    <xf numFmtId="186" fontId="0" fillId="0" borderId="0" xfId="0" applyNumberFormat="1">
      <alignment vertical="center"/>
    </xf>
    <xf numFmtId="0" fontId="8" fillId="0" borderId="0" xfId="2" applyNumberFormat="1">
      <alignment vertical="center"/>
    </xf>
    <xf numFmtId="186" fontId="2" fillId="0" borderId="6" xfId="39" applyBorder="1">
      <alignment vertical="center"/>
    </xf>
    <xf numFmtId="0" fontId="0" fillId="0" borderId="0" xfId="0" applyNumberFormat="1" applyAlignment="1">
      <alignment horizontal="left" vertical="center" indent="1"/>
    </xf>
    <xf numFmtId="187" fontId="2" fillId="4" borderId="0" xfId="32" applyNumberFormat="1" applyAlignment="1">
      <alignment vertical="center"/>
    </xf>
    <xf numFmtId="186" fontId="2" fillId="7" borderId="6" xfId="40" applyNumberFormat="1" applyBorder="1">
      <alignment vertical="center"/>
    </xf>
    <xf numFmtId="186" fontId="2" fillId="0" borderId="6" xfId="29" applyNumberFormat="1" applyAlignment="1">
      <alignment vertical="center"/>
    </xf>
    <xf numFmtId="190" fontId="8" fillId="0" borderId="0" xfId="2" applyNumberFormat="1">
      <alignment vertical="center"/>
    </xf>
    <xf numFmtId="0" fontId="5" fillId="13" borderId="0" xfId="0" applyFont="1" applyFill="1" applyAlignment="1">
      <alignment horizontal="center" vertical="center"/>
    </xf>
    <xf numFmtId="0" fontId="5" fillId="16" borderId="0" xfId="0" applyFont="1" applyFill="1" applyAlignment="1">
      <alignment horizontal="center" vertical="center"/>
    </xf>
    <xf numFmtId="0" fontId="5" fillId="12" borderId="0" xfId="0" applyFont="1" applyFill="1" applyAlignment="1">
      <alignment horizontal="center" vertical="center"/>
    </xf>
    <xf numFmtId="0" fontId="5" fillId="15" borderId="0" xfId="0" applyFont="1" applyFill="1" applyAlignment="1">
      <alignment horizontal="center" vertical="center"/>
    </xf>
    <xf numFmtId="187" fontId="2" fillId="0" borderId="1" xfId="41" applyBorder="1" applyAlignment="1" applyProtection="1">
      <alignment vertical="center"/>
      <protection locked="0"/>
    </xf>
    <xf numFmtId="0" fontId="5" fillId="0" borderId="0" xfId="0" applyFont="1" applyAlignment="1">
      <alignment horizontal="center" vertical="center"/>
    </xf>
    <xf numFmtId="0" fontId="5" fillId="13" borderId="0" xfId="0" applyFont="1" applyFill="1" applyAlignment="1">
      <alignment horizontal="center" vertical="center"/>
    </xf>
    <xf numFmtId="0" fontId="5" fillId="16" borderId="0" xfId="0" applyFont="1" applyFill="1" applyAlignment="1">
      <alignment horizontal="center" vertical="center"/>
    </xf>
    <xf numFmtId="0" fontId="5" fillId="12" borderId="0" xfId="0" applyFont="1" applyFill="1" applyAlignment="1">
      <alignment horizontal="center" vertical="center"/>
    </xf>
    <xf numFmtId="0" fontId="5" fillId="15" borderId="0" xfId="0" applyFont="1" applyFill="1" applyAlignment="1">
      <alignment horizontal="center" vertical="center"/>
    </xf>
  </cellXfs>
  <cellStyles count="59">
    <cellStyle name="Ausgabe" xfId="40" builtinId="21" customBuiltin="1"/>
    <cellStyle name="Berechnung" xfId="1" builtinId="22" customBuiltin="1"/>
    <cellStyle name="Checksum" xfId="2"/>
    <cellStyle name="Column label" xfId="3"/>
    <cellStyle name="Column label (left aligned)" xfId="4"/>
    <cellStyle name="Column label (no wrap)" xfId="5"/>
    <cellStyle name="Column label (not bold)" xfId="6"/>
    <cellStyle name="Currency (0dp)" xfId="8"/>
    <cellStyle name="Currency (2dp)" xfId="9"/>
    <cellStyle name="Currency Dollar" xfId="10"/>
    <cellStyle name="Currency Dollar (2dp)" xfId="11"/>
    <cellStyle name="Currency EUR" xfId="12"/>
    <cellStyle name="Currency EUR (2dp)" xfId="13"/>
    <cellStyle name="Currency Euro" xfId="14"/>
    <cellStyle name="Currency Euro (2dp)" xfId="15"/>
    <cellStyle name="Currency GBP" xfId="16"/>
    <cellStyle name="Currency GBP (2dp)" xfId="17"/>
    <cellStyle name="Currency Pound" xfId="18"/>
    <cellStyle name="Currency Pound (2dp)" xfId="19"/>
    <cellStyle name="Currency USD" xfId="20"/>
    <cellStyle name="Currency USD (2dp)" xfId="21"/>
    <cellStyle name="Date" xfId="22"/>
    <cellStyle name="Date (Month)" xfId="23"/>
    <cellStyle name="Date (Year)" xfId="24"/>
    <cellStyle name="Ergebnis" xfId="51" builtinId="25" customBuiltin="1"/>
    <cellStyle name="H0" xfId="56"/>
    <cellStyle name="H0 2" xfId="58"/>
    <cellStyle name="H1" xfId="57"/>
    <cellStyle name="H2" xfId="25"/>
    <cellStyle name="H3" xfId="26"/>
    <cellStyle name="H4" xfId="27"/>
    <cellStyle name="Highlight" xfId="28"/>
    <cellStyle name="Input calculation" xfId="29"/>
    <cellStyle name="Input data" xfId="30"/>
    <cellStyle name="Input estimate" xfId="31"/>
    <cellStyle name="Input link" xfId="32"/>
    <cellStyle name="Input link (different workbook)" xfId="33"/>
    <cellStyle name="Input Link (different Worksheet)" xfId="34"/>
    <cellStyle name="Input parameter" xfId="35"/>
    <cellStyle name="Name" xfId="36"/>
    <cellStyle name="Normal 2" xfId="55"/>
    <cellStyle name="Notiz" xfId="37" builtinId="10" customBuiltin="1"/>
    <cellStyle name="Number" xfId="38"/>
    <cellStyle name="Number (2dp)" xfId="39"/>
    <cellStyle name="Percentage" xfId="41"/>
    <cellStyle name="Percentage (2dp)" xfId="42"/>
    <cellStyle name="Row label" xfId="43"/>
    <cellStyle name="Row label (indent)" xfId="44"/>
    <cellStyle name="Standard" xfId="0" builtinId="0"/>
    <cellStyle name="Sub-total row" xfId="45"/>
    <cellStyle name="Table finish row" xfId="46"/>
    <cellStyle name="Table shading" xfId="47"/>
    <cellStyle name="Table unfinish row" xfId="48"/>
    <cellStyle name="Table unshading" xfId="49"/>
    <cellStyle name="Text" xfId="50"/>
    <cellStyle name="Total row" xfId="52"/>
    <cellStyle name="Unhighlight" xfId="53"/>
    <cellStyle name="Untotal row" xfId="54"/>
    <cellStyle name="Währung" xfId="7" builtinId="4"/>
  </cellStyles>
  <dxfs count="1">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221F72"/>
      <color rgb="FFC4D0E9"/>
      <color rgb="FFFFFFFF"/>
      <color rgb="FFFFFAB3"/>
      <color rgb="FFFFE0A0"/>
      <color rgb="FFC41230"/>
      <color rgb="FFFFFF00"/>
      <color rgb="FF00FF00"/>
      <color rgb="FFB4FF3C"/>
      <color rgb="FFD0FFD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1057275</xdr:colOff>
      <xdr:row>0</xdr:row>
      <xdr:rowOff>419100</xdr:rowOff>
    </xdr:to>
    <xdr:pic>
      <xdr:nvPicPr>
        <xdr:cNvPr id="2124"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666750</xdr:colOff>
      <xdr:row>1</xdr:row>
      <xdr:rowOff>0</xdr:rowOff>
    </xdr:to>
    <xdr:pic>
      <xdr:nvPicPr>
        <xdr:cNvPr id="2" name="Picture 8" descr="P:\projects\EG011\WP\EG011040\AnalysysMason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666750</xdr:colOff>
      <xdr:row>1</xdr:row>
      <xdr:rowOff>0</xdr:rowOff>
    </xdr:to>
    <xdr:pic>
      <xdr:nvPicPr>
        <xdr:cNvPr id="2" name="Picture 8" descr="P:\projects\EG011\WP\EG011040\AnalysysMason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666750</xdr:colOff>
      <xdr:row>1</xdr:row>
      <xdr:rowOff>0</xdr:rowOff>
    </xdr:to>
    <xdr:pic>
      <xdr:nvPicPr>
        <xdr:cNvPr id="4143" name="Picture 8" descr="P:\projects\EG011\WP\EG011040\AnalysysMason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3">
    <outlinePr summaryBelow="0"/>
    <pageSetUpPr autoPageBreaks="0" fitToPage="1"/>
  </sheetPr>
  <dimension ref="A1:M145"/>
  <sheetViews>
    <sheetView showGridLines="0" defaultGridColor="0" colorId="22" zoomScale="110" zoomScaleNormal="110" workbookViewId="0">
      <pane ySplit="1" topLeftCell="A15" activePane="bottomLeft" state="frozen"/>
      <selection activeCell="A16" sqref="A16"/>
      <selection pane="bottomLeft" activeCell="A2" sqref="A2"/>
    </sheetView>
  </sheetViews>
  <sheetFormatPr baseColWidth="10" defaultColWidth="12.7109375" defaultRowHeight="12" x14ac:dyDescent="0.2"/>
  <cols>
    <col min="1" max="1" width="2.7109375" customWidth="1"/>
    <col min="2" max="2" width="26.5703125" customWidth="1"/>
  </cols>
  <sheetData>
    <row r="1" spans="1:13" s="66" customFormat="1" ht="33.75" customHeight="1" x14ac:dyDescent="0.2">
      <c r="C1" s="73" t="s">
        <v>120</v>
      </c>
    </row>
    <row r="2" spans="1:13" s="54" customFormat="1" ht="12" customHeight="1" x14ac:dyDescent="0.2"/>
    <row r="3" spans="1:13" x14ac:dyDescent="0.2">
      <c r="A3" s="23" t="s">
        <v>94</v>
      </c>
    </row>
    <row r="4" spans="1:13" x14ac:dyDescent="0.2">
      <c r="A4" s="44" t="s">
        <v>119</v>
      </c>
    </row>
    <row r="6" spans="1:13" ht="18" x14ac:dyDescent="0.2">
      <c r="A6" s="7" t="s">
        <v>82</v>
      </c>
    </row>
    <row r="7" spans="1:13" x14ac:dyDescent="0.2">
      <c r="A7" s="69" t="s">
        <v>83</v>
      </c>
      <c r="B7" s="43"/>
      <c r="C7" s="43"/>
      <c r="D7" s="43"/>
      <c r="E7" s="43"/>
    </row>
    <row r="8" spans="1:13" x14ac:dyDescent="0.2">
      <c r="A8" s="23" t="s">
        <v>114</v>
      </c>
    </row>
    <row r="10" spans="1:13" x14ac:dyDescent="0.2">
      <c r="B10" s="53" t="s">
        <v>22</v>
      </c>
      <c r="C10" s="8">
        <v>100</v>
      </c>
      <c r="D10" s="23" t="s">
        <v>1</v>
      </c>
      <c r="E10" t="s">
        <v>52</v>
      </c>
    </row>
    <row r="12" spans="1:13" x14ac:dyDescent="0.2">
      <c r="B12" s="4" t="s">
        <v>22</v>
      </c>
      <c r="C12" s="8">
        <v>250</v>
      </c>
      <c r="D12" s="23" t="s">
        <v>1</v>
      </c>
      <c r="E12" s="49" t="s">
        <v>68</v>
      </c>
      <c r="F12" s="49"/>
      <c r="G12" s="49"/>
      <c r="H12" s="49"/>
      <c r="I12" s="49"/>
      <c r="J12" s="49"/>
      <c r="K12" s="49"/>
    </row>
    <row r="13" spans="1:13" hidden="1" x14ac:dyDescent="0.2">
      <c r="B13" s="3" t="s">
        <v>70</v>
      </c>
      <c r="C13" s="2">
        <v>100</v>
      </c>
    </row>
    <row r="14" spans="1:13" hidden="1" x14ac:dyDescent="0.2">
      <c r="B14" s="3" t="s">
        <v>71</v>
      </c>
      <c r="C14" s="2">
        <v>300</v>
      </c>
    </row>
    <row r="16" spans="1:13" x14ac:dyDescent="0.2">
      <c r="B16" s="4" t="s">
        <v>22</v>
      </c>
      <c r="C16" s="8">
        <v>300</v>
      </c>
      <c r="D16" s="23" t="s">
        <v>1</v>
      </c>
      <c r="E16" s="49" t="s">
        <v>72</v>
      </c>
      <c r="F16" s="49"/>
      <c r="G16" s="49"/>
      <c r="H16" s="49"/>
      <c r="I16" s="49"/>
      <c r="J16" s="49"/>
      <c r="K16" s="49"/>
      <c r="L16" s="49"/>
      <c r="M16" s="49"/>
    </row>
    <row r="17" spans="2:5" hidden="1" x14ac:dyDescent="0.2">
      <c r="B17" s="3" t="s">
        <v>69</v>
      </c>
      <c r="C17" s="2">
        <v>100</v>
      </c>
    </row>
    <row r="18" spans="2:5" hidden="1" x14ac:dyDescent="0.2">
      <c r="C18" s="2">
        <v>200</v>
      </c>
    </row>
    <row r="19" spans="2:5" hidden="1" x14ac:dyDescent="0.2">
      <c r="C19" s="2">
        <v>300</v>
      </c>
    </row>
    <row r="21" spans="2:5" x14ac:dyDescent="0.2">
      <c r="B21" s="4" t="s">
        <v>23</v>
      </c>
      <c r="C21" s="10">
        <v>100</v>
      </c>
      <c r="D21" s="23" t="s">
        <v>1</v>
      </c>
      <c r="E21" t="s">
        <v>51</v>
      </c>
    </row>
    <row r="23" spans="2:5" x14ac:dyDescent="0.2">
      <c r="B23" s="4" t="s">
        <v>78</v>
      </c>
      <c r="C23" s="52">
        <v>100</v>
      </c>
      <c r="D23" s="23" t="s">
        <v>1</v>
      </c>
      <c r="E23" t="s">
        <v>79</v>
      </c>
    </row>
    <row r="25" spans="2:5" x14ac:dyDescent="0.2">
      <c r="B25" s="4" t="s">
        <v>24</v>
      </c>
      <c r="C25" s="9">
        <v>100</v>
      </c>
      <c r="D25" s="23" t="s">
        <v>2</v>
      </c>
      <c r="E25" t="s">
        <v>126</v>
      </c>
    </row>
    <row r="27" spans="2:5" x14ac:dyDescent="0.2">
      <c r="B27" s="4" t="s">
        <v>25</v>
      </c>
      <c r="C27" s="11">
        <v>100</v>
      </c>
      <c r="D27" s="23" t="s">
        <v>2</v>
      </c>
      <c r="E27" t="s">
        <v>117</v>
      </c>
    </row>
    <row r="29" spans="2:5" ht="12" customHeight="1" x14ac:dyDescent="0.2">
      <c r="B29" s="4" t="s">
        <v>116</v>
      </c>
      <c r="C29" s="68">
        <v>100</v>
      </c>
      <c r="D29" s="23" t="s">
        <v>2</v>
      </c>
      <c r="E29" t="s">
        <v>118</v>
      </c>
    </row>
    <row r="31" spans="2:5" ht="12" customHeight="1" x14ac:dyDescent="0.2">
      <c r="B31" s="4" t="s">
        <v>101</v>
      </c>
      <c r="C31" s="61">
        <v>100</v>
      </c>
      <c r="D31" s="23" t="s">
        <v>2</v>
      </c>
      <c r="E31" t="s">
        <v>102</v>
      </c>
    </row>
    <row r="33" spans="1:11" ht="18" x14ac:dyDescent="0.2">
      <c r="A33" s="7" t="s">
        <v>84</v>
      </c>
    </row>
    <row r="34" spans="1:11" x14ac:dyDescent="0.2">
      <c r="A34" s="69" t="s">
        <v>85</v>
      </c>
      <c r="B34" s="43"/>
      <c r="C34" s="43"/>
      <c r="D34" s="43"/>
      <c r="E34" s="43"/>
    </row>
    <row r="35" spans="1:11" x14ac:dyDescent="0.2">
      <c r="A35" s="23" t="s">
        <v>115</v>
      </c>
    </row>
    <row r="37" spans="1:11" x14ac:dyDescent="0.2">
      <c r="B37" s="4" t="s">
        <v>3</v>
      </c>
      <c r="C37" s="12">
        <v>100</v>
      </c>
      <c r="D37" s="23" t="s">
        <v>2</v>
      </c>
      <c r="E37" t="s">
        <v>50</v>
      </c>
    </row>
    <row r="38" spans="1:11" x14ac:dyDescent="0.2">
      <c r="C38" s="12"/>
    </row>
    <row r="39" spans="1:11" x14ac:dyDescent="0.2">
      <c r="B39" s="4" t="s">
        <v>91</v>
      </c>
      <c r="C39" s="62">
        <v>123.45</v>
      </c>
      <c r="E39" t="s">
        <v>54</v>
      </c>
    </row>
    <row r="41" spans="1:11" x14ac:dyDescent="0.2">
      <c r="B41" s="4" t="s">
        <v>103</v>
      </c>
      <c r="C41" s="58">
        <v>0</v>
      </c>
      <c r="D41" s="23" t="s">
        <v>2</v>
      </c>
      <c r="E41" t="s">
        <v>53</v>
      </c>
      <c r="F41" s="49"/>
      <c r="G41" s="49"/>
      <c r="H41" s="49"/>
      <c r="I41" s="49"/>
      <c r="J41" s="49"/>
      <c r="K41" s="49"/>
    </row>
    <row r="43" spans="1:11" x14ac:dyDescent="0.2">
      <c r="B43" s="4" t="s">
        <v>103</v>
      </c>
      <c r="C43" s="58">
        <v>0.1</v>
      </c>
      <c r="D43" s="23" t="s">
        <v>2</v>
      </c>
      <c r="E43" s="49" t="s">
        <v>122</v>
      </c>
      <c r="F43" s="49"/>
      <c r="G43" s="49"/>
      <c r="H43" s="49"/>
      <c r="I43" s="49"/>
      <c r="J43" s="49"/>
      <c r="K43" s="49"/>
    </row>
    <row r="45" spans="1:11" x14ac:dyDescent="0.2">
      <c r="B45" s="4" t="s">
        <v>4</v>
      </c>
      <c r="C45" s="13">
        <v>100</v>
      </c>
      <c r="E45" t="s">
        <v>13</v>
      </c>
    </row>
    <row r="47" spans="1:11" x14ac:dyDescent="0.2">
      <c r="B47" s="4" t="s">
        <v>31</v>
      </c>
      <c r="C47" s="39" t="s">
        <v>31</v>
      </c>
      <c r="D47" s="23" t="s">
        <v>2</v>
      </c>
      <c r="E47" t="s">
        <v>123</v>
      </c>
    </row>
    <row r="49" spans="1:10" x14ac:dyDescent="0.2">
      <c r="B49" s="4" t="s">
        <v>32</v>
      </c>
      <c r="C49" s="40" t="s">
        <v>32</v>
      </c>
      <c r="E49" t="s">
        <v>86</v>
      </c>
    </row>
    <row r="51" spans="1:10" x14ac:dyDescent="0.2">
      <c r="B51" s="4" t="s">
        <v>5</v>
      </c>
      <c r="C51" s="14">
        <v>100</v>
      </c>
      <c r="E51" t="s">
        <v>6</v>
      </c>
    </row>
    <row r="52" spans="1:10" x14ac:dyDescent="0.2">
      <c r="B52" s="4"/>
    </row>
    <row r="53" spans="1:10" x14ac:dyDescent="0.2">
      <c r="B53" s="4" t="s">
        <v>73</v>
      </c>
      <c r="C53" s="50">
        <v>100</v>
      </c>
      <c r="E53" t="s">
        <v>74</v>
      </c>
    </row>
    <row r="55" spans="1:10" ht="18" x14ac:dyDescent="0.2">
      <c r="A55" s="7" t="s">
        <v>42</v>
      </c>
    </row>
    <row r="56" spans="1:10" x14ac:dyDescent="0.2">
      <c r="A56" s="69" t="s">
        <v>48</v>
      </c>
      <c r="B56" s="43"/>
      <c r="C56" s="43"/>
      <c r="D56" s="43"/>
      <c r="E56" s="43"/>
    </row>
    <row r="57" spans="1:10" x14ac:dyDescent="0.2">
      <c r="A57" s="23" t="s">
        <v>75</v>
      </c>
    </row>
    <row r="58" spans="1:10" x14ac:dyDescent="0.2">
      <c r="A58" s="23" t="s">
        <v>77</v>
      </c>
    </row>
    <row r="60" spans="1:10" ht="24" x14ac:dyDescent="0.2">
      <c r="B60" s="1"/>
      <c r="C60" s="1" t="s">
        <v>8</v>
      </c>
      <c r="D60" s="1" t="s">
        <v>16</v>
      </c>
      <c r="E60" s="1" t="s">
        <v>10</v>
      </c>
      <c r="F60" s="1" t="s">
        <v>11</v>
      </c>
      <c r="G60" s="1" t="s">
        <v>9</v>
      </c>
      <c r="H60" s="1" t="s">
        <v>17</v>
      </c>
      <c r="I60" s="1" t="s">
        <v>14</v>
      </c>
      <c r="J60" s="1" t="s">
        <v>15</v>
      </c>
    </row>
    <row r="61" spans="1:10" x14ac:dyDescent="0.2">
      <c r="B61" s="4" t="s">
        <v>55</v>
      </c>
      <c r="C61" s="2">
        <v>1234.56</v>
      </c>
      <c r="D61" s="15">
        <v>123.45</v>
      </c>
      <c r="E61" s="47">
        <v>0.1234</v>
      </c>
      <c r="F61" s="48">
        <v>0.1234</v>
      </c>
      <c r="G61" s="16">
        <v>1234.56</v>
      </c>
      <c r="H61" s="17">
        <v>123.45</v>
      </c>
      <c r="I61" s="45">
        <v>1234.56</v>
      </c>
      <c r="J61" s="46">
        <v>0.1234</v>
      </c>
    </row>
    <row r="62" spans="1:10" x14ac:dyDescent="0.2">
      <c r="B62" s="4" t="s">
        <v>56</v>
      </c>
      <c r="C62" s="2">
        <v>-1234.56</v>
      </c>
      <c r="D62" s="15">
        <v>-123.45</v>
      </c>
      <c r="E62" s="47">
        <v>-0.1234</v>
      </c>
      <c r="F62" s="48">
        <v>-0.1234</v>
      </c>
      <c r="G62" s="16">
        <v>-1234.56</v>
      </c>
      <c r="H62" s="17">
        <v>-123.45</v>
      </c>
      <c r="I62" s="45">
        <v>-1234.56</v>
      </c>
      <c r="J62" s="46">
        <v>-0.1234</v>
      </c>
    </row>
    <row r="63" spans="1:10" x14ac:dyDescent="0.2">
      <c r="B63" s="4" t="s">
        <v>57</v>
      </c>
      <c r="C63" s="2">
        <v>0</v>
      </c>
      <c r="D63" s="15">
        <v>0</v>
      </c>
      <c r="E63" s="75">
        <v>0</v>
      </c>
      <c r="F63" s="76">
        <v>0</v>
      </c>
      <c r="G63" s="16">
        <v>0</v>
      </c>
      <c r="H63" s="17">
        <v>0</v>
      </c>
      <c r="I63" s="45">
        <v>0</v>
      </c>
      <c r="J63" s="46">
        <v>0</v>
      </c>
    </row>
    <row r="64" spans="1:10" ht="12.75" thickBot="1" x14ac:dyDescent="0.25">
      <c r="B64" s="4" t="s">
        <v>7</v>
      </c>
      <c r="C64" s="2" t="s">
        <v>7</v>
      </c>
      <c r="D64" s="15" t="s">
        <v>7</v>
      </c>
      <c r="E64" s="47" t="s">
        <v>7</v>
      </c>
      <c r="F64" s="48" t="s">
        <v>7</v>
      </c>
      <c r="G64" s="16" t="s">
        <v>7</v>
      </c>
      <c r="H64" s="17" t="s">
        <v>7</v>
      </c>
      <c r="I64" s="45" t="s">
        <v>7</v>
      </c>
      <c r="J64" s="46" t="s">
        <v>7</v>
      </c>
    </row>
    <row r="65" spans="2:10" x14ac:dyDescent="0.2">
      <c r="B65" s="38"/>
      <c r="C65" s="38"/>
      <c r="D65" s="38"/>
      <c r="E65" s="38"/>
      <c r="F65" s="38"/>
      <c r="G65" s="38"/>
      <c r="H65" s="38"/>
      <c r="I65" s="38"/>
      <c r="J65" s="38"/>
    </row>
    <row r="66" spans="2:10" ht="24" x14ac:dyDescent="0.2">
      <c r="B66" s="1"/>
      <c r="C66" s="1" t="s">
        <v>60</v>
      </c>
      <c r="D66" s="1" t="s">
        <v>61</v>
      </c>
      <c r="E66" s="1" t="s">
        <v>58</v>
      </c>
      <c r="F66" s="1" t="s">
        <v>59</v>
      </c>
    </row>
    <row r="67" spans="2:10" x14ac:dyDescent="0.2">
      <c r="B67" s="4" t="s">
        <v>55</v>
      </c>
      <c r="C67" s="20">
        <v>1234.56</v>
      </c>
      <c r="D67" s="21">
        <v>123.45</v>
      </c>
      <c r="E67" s="18">
        <v>1234.56</v>
      </c>
      <c r="F67" s="19">
        <v>123.45</v>
      </c>
    </row>
    <row r="68" spans="2:10" x14ac:dyDescent="0.2">
      <c r="B68" s="4" t="s">
        <v>56</v>
      </c>
      <c r="C68" s="20">
        <v>-1234.56</v>
      </c>
      <c r="D68" s="21">
        <v>-123.45</v>
      </c>
      <c r="E68" s="18">
        <v>-1234.56</v>
      </c>
      <c r="F68" s="19">
        <v>-123.45</v>
      </c>
    </row>
    <row r="69" spans="2:10" x14ac:dyDescent="0.2">
      <c r="B69" s="4" t="s">
        <v>57</v>
      </c>
      <c r="C69" s="20">
        <v>0</v>
      </c>
      <c r="D69" s="21">
        <v>0</v>
      </c>
      <c r="E69" s="18">
        <v>0</v>
      </c>
      <c r="F69" s="19">
        <v>0</v>
      </c>
    </row>
    <row r="70" spans="2:10" ht="12.75" thickBot="1" x14ac:dyDescent="0.25">
      <c r="B70" s="4" t="s">
        <v>7</v>
      </c>
      <c r="C70" s="20" t="s">
        <v>7</v>
      </c>
      <c r="D70" s="21" t="s">
        <v>7</v>
      </c>
      <c r="E70" s="18" t="s">
        <v>7</v>
      </c>
      <c r="F70" s="19" t="s">
        <v>7</v>
      </c>
    </row>
    <row r="71" spans="2:10" x14ac:dyDescent="0.2">
      <c r="B71" s="38"/>
      <c r="C71" s="38"/>
      <c r="D71" s="38"/>
      <c r="E71" s="38"/>
      <c r="F71" s="38"/>
    </row>
    <row r="72" spans="2:10" ht="24" x14ac:dyDescent="0.2">
      <c r="B72" s="1"/>
      <c r="C72" s="1" t="s">
        <v>62</v>
      </c>
      <c r="D72" s="1" t="s">
        <v>63</v>
      </c>
      <c r="E72" s="1" t="s">
        <v>19</v>
      </c>
      <c r="F72" s="1" t="s">
        <v>18</v>
      </c>
    </row>
    <row r="73" spans="2:10" x14ac:dyDescent="0.2">
      <c r="B73" s="4" t="s">
        <v>55</v>
      </c>
      <c r="C73" s="26">
        <v>1234.56</v>
      </c>
      <c r="D73" s="27">
        <v>123.45</v>
      </c>
      <c r="E73" s="24">
        <v>1234.56</v>
      </c>
      <c r="F73" s="25">
        <v>123.45</v>
      </c>
    </row>
    <row r="74" spans="2:10" x14ac:dyDescent="0.2">
      <c r="B74" s="4" t="s">
        <v>56</v>
      </c>
      <c r="C74" s="26">
        <v>-1234.56</v>
      </c>
      <c r="D74" s="27">
        <v>-123.45</v>
      </c>
      <c r="E74" s="24">
        <v>-1234.56</v>
      </c>
      <c r="F74" s="25">
        <v>-123.45</v>
      </c>
    </row>
    <row r="75" spans="2:10" x14ac:dyDescent="0.2">
      <c r="B75" s="4" t="s">
        <v>57</v>
      </c>
      <c r="C75" s="26">
        <v>0</v>
      </c>
      <c r="D75" s="27">
        <v>0</v>
      </c>
      <c r="E75" s="24">
        <v>0</v>
      </c>
      <c r="F75" s="25">
        <v>0</v>
      </c>
    </row>
    <row r="76" spans="2:10" ht="12.75" thickBot="1" x14ac:dyDescent="0.25">
      <c r="B76" s="4" t="s">
        <v>7</v>
      </c>
      <c r="C76" s="26" t="s">
        <v>7</v>
      </c>
      <c r="D76" s="27" t="s">
        <v>7</v>
      </c>
      <c r="E76" s="24" t="s">
        <v>7</v>
      </c>
      <c r="F76" s="25" t="s">
        <v>7</v>
      </c>
    </row>
    <row r="77" spans="2:10" x14ac:dyDescent="0.2">
      <c r="B77" s="38"/>
      <c r="C77" s="38"/>
      <c r="D77" s="38"/>
      <c r="E77" s="38"/>
      <c r="F77" s="38"/>
    </row>
    <row r="78" spans="2:10" ht="24" x14ac:dyDescent="0.2">
      <c r="B78" s="1"/>
      <c r="C78" s="1" t="s">
        <v>64</v>
      </c>
      <c r="D78" s="1" t="s">
        <v>65</v>
      </c>
      <c r="E78" s="1" t="s">
        <v>21</v>
      </c>
      <c r="F78" s="1" t="s">
        <v>20</v>
      </c>
    </row>
    <row r="79" spans="2:10" x14ac:dyDescent="0.2">
      <c r="B79" s="4" t="s">
        <v>55</v>
      </c>
      <c r="C79" s="30">
        <v>1234.56</v>
      </c>
      <c r="D79" s="31">
        <v>123.45</v>
      </c>
      <c r="E79" s="28">
        <v>1234.56</v>
      </c>
      <c r="F79" s="29">
        <v>123.45</v>
      </c>
    </row>
    <row r="80" spans="2:10" x14ac:dyDescent="0.2">
      <c r="B80" s="4" t="s">
        <v>56</v>
      </c>
      <c r="C80" s="30">
        <v>-1234.56</v>
      </c>
      <c r="D80" s="31">
        <v>-123.45</v>
      </c>
      <c r="E80" s="28">
        <v>-1234.56</v>
      </c>
      <c r="F80" s="29">
        <v>-123.45</v>
      </c>
    </row>
    <row r="81" spans="1:6" x14ac:dyDescent="0.2">
      <c r="B81" s="4" t="s">
        <v>57</v>
      </c>
      <c r="C81" s="30">
        <v>0</v>
      </c>
      <c r="D81" s="31">
        <v>0</v>
      </c>
      <c r="E81" s="28">
        <v>0</v>
      </c>
      <c r="F81" s="29">
        <v>0</v>
      </c>
    </row>
    <row r="82" spans="1:6" ht="12.75" thickBot="1" x14ac:dyDescent="0.25">
      <c r="B82" s="4" t="s">
        <v>7</v>
      </c>
      <c r="C82" s="30" t="s">
        <v>7</v>
      </c>
      <c r="D82" s="31" t="s">
        <v>7</v>
      </c>
      <c r="E82" s="28" t="s">
        <v>7</v>
      </c>
      <c r="F82" s="29" t="s">
        <v>7</v>
      </c>
    </row>
    <row r="83" spans="1:6" x14ac:dyDescent="0.2">
      <c r="B83" s="38"/>
      <c r="C83" s="38"/>
      <c r="D83" s="38"/>
      <c r="E83" s="38"/>
      <c r="F83" s="38"/>
    </row>
    <row r="84" spans="1:6" ht="24" x14ac:dyDescent="0.2">
      <c r="B84" s="1"/>
      <c r="C84" s="1" t="s">
        <v>12</v>
      </c>
      <c r="D84" s="1" t="s">
        <v>66</v>
      </c>
      <c r="E84" s="1" t="s">
        <v>67</v>
      </c>
    </row>
    <row r="85" spans="1:6" ht="12.75" thickBot="1" x14ac:dyDescent="0.25">
      <c r="B85" s="4" t="s">
        <v>12</v>
      </c>
      <c r="C85" s="22">
        <v>37591</v>
      </c>
      <c r="D85" s="64">
        <v>37591</v>
      </c>
      <c r="E85" s="32">
        <v>37591</v>
      </c>
    </row>
    <row r="86" spans="1:6" x14ac:dyDescent="0.2">
      <c r="B86" s="38"/>
      <c r="C86" s="38"/>
      <c r="D86" s="38"/>
      <c r="E86" s="38"/>
    </row>
    <row r="87" spans="1:6" ht="18" x14ac:dyDescent="0.2">
      <c r="A87" s="7" t="s">
        <v>81</v>
      </c>
    </row>
    <row r="88" spans="1:6" x14ac:dyDescent="0.2">
      <c r="A88" s="69" t="s">
        <v>80</v>
      </c>
      <c r="B88" s="43"/>
      <c r="C88" s="43"/>
      <c r="D88" s="43"/>
      <c r="E88" s="43"/>
    </row>
    <row r="89" spans="1:6" x14ac:dyDescent="0.2">
      <c r="A89" s="23" t="s">
        <v>41</v>
      </c>
    </row>
    <row r="90" spans="1:6" s="41" customFormat="1" x14ac:dyDescent="0.2">
      <c r="A90" s="23"/>
    </row>
    <row r="91" spans="1:6" s="41" customFormat="1" ht="27.75" x14ac:dyDescent="0.2">
      <c r="A91" s="23"/>
      <c r="B91" s="71" t="s">
        <v>124</v>
      </c>
      <c r="C91" s="71" t="s">
        <v>121</v>
      </c>
      <c r="D91" s="71"/>
      <c r="E91" s="41" t="s">
        <v>125</v>
      </c>
    </row>
    <row r="92" spans="1:6" s="41" customFormat="1" x14ac:dyDescent="0.2">
      <c r="A92" s="23"/>
    </row>
    <row r="93" spans="1:6" s="41" customFormat="1" ht="23.25" x14ac:dyDescent="0.2">
      <c r="A93" s="23"/>
      <c r="B93" s="72" t="s">
        <v>33</v>
      </c>
      <c r="C93" s="72" t="s">
        <v>44</v>
      </c>
      <c r="D93" s="72"/>
      <c r="E93" s="41" t="s">
        <v>37</v>
      </c>
    </row>
    <row r="95" spans="1:6" ht="18" x14ac:dyDescent="0.2">
      <c r="B95" s="7" t="s">
        <v>34</v>
      </c>
      <c r="C95" s="7" t="s">
        <v>44</v>
      </c>
      <c r="E95" t="s">
        <v>38</v>
      </c>
    </row>
    <row r="97" spans="1:6" ht="15.75" x14ac:dyDescent="0.2">
      <c r="B97" s="34" t="s">
        <v>35</v>
      </c>
      <c r="C97" s="34" t="s">
        <v>44</v>
      </c>
      <c r="E97" t="s">
        <v>39</v>
      </c>
    </row>
    <row r="99" spans="1:6" x14ac:dyDescent="0.2">
      <c r="B99" s="33" t="s">
        <v>36</v>
      </c>
      <c r="C99" s="33" t="s">
        <v>44</v>
      </c>
      <c r="E99" t="s">
        <v>40</v>
      </c>
    </row>
    <row r="101" spans="1:6" ht="18" x14ac:dyDescent="0.2">
      <c r="A101" s="7" t="s">
        <v>43</v>
      </c>
    </row>
    <row r="102" spans="1:6" x14ac:dyDescent="0.2">
      <c r="A102" s="69" t="s">
        <v>49</v>
      </c>
      <c r="B102" s="43"/>
      <c r="C102" s="43"/>
      <c r="D102" s="43"/>
      <c r="E102" s="43"/>
    </row>
    <row r="103" spans="1:6" x14ac:dyDescent="0.2">
      <c r="A103" s="23" t="s">
        <v>46</v>
      </c>
    </row>
    <row r="105" spans="1:6" ht="15.75" x14ac:dyDescent="0.2">
      <c r="A105" s="34" t="s">
        <v>92</v>
      </c>
    </row>
    <row r="106" spans="1:6" x14ac:dyDescent="0.2">
      <c r="B106" s="59" t="s">
        <v>104</v>
      </c>
      <c r="C106" s="1" t="s">
        <v>100</v>
      </c>
      <c r="D106" s="1" t="s">
        <v>100</v>
      </c>
      <c r="E106" s="1" t="s">
        <v>100</v>
      </c>
      <c r="F106" s="1" t="s">
        <v>100</v>
      </c>
    </row>
    <row r="107" spans="1:6" x14ac:dyDescent="0.2">
      <c r="B107" s="4" t="s">
        <v>26</v>
      </c>
    </row>
    <row r="108" spans="1:6" x14ac:dyDescent="0.2">
      <c r="B108" s="4" t="s">
        <v>26</v>
      </c>
    </row>
    <row r="109" spans="1:6" ht="12.75" thickBot="1" x14ac:dyDescent="0.25">
      <c r="B109" s="4" t="s">
        <v>26</v>
      </c>
    </row>
    <row r="110" spans="1:6" x14ac:dyDescent="0.2">
      <c r="B110" s="38" t="s">
        <v>30</v>
      </c>
      <c r="C110" s="38"/>
      <c r="D110" s="38"/>
      <c r="E110" s="38"/>
      <c r="F110" s="38"/>
    </row>
    <row r="112" spans="1:6" ht="15.75" x14ac:dyDescent="0.2">
      <c r="A112" s="34" t="s">
        <v>93</v>
      </c>
    </row>
    <row r="113" spans="1:9" x14ac:dyDescent="0.2">
      <c r="B113" s="59"/>
      <c r="C113" s="63"/>
      <c r="D113" s="63" t="s">
        <v>113</v>
      </c>
      <c r="E113" s="63"/>
      <c r="F113" s="63" t="s">
        <v>113</v>
      </c>
      <c r="G113" s="63"/>
    </row>
    <row r="114" spans="1:9" ht="24" x14ac:dyDescent="0.2">
      <c r="B114" s="59" t="s">
        <v>104</v>
      </c>
      <c r="C114" s="60" t="s">
        <v>105</v>
      </c>
      <c r="D114" s="1" t="s">
        <v>100</v>
      </c>
      <c r="E114" s="1" t="s">
        <v>100</v>
      </c>
      <c r="F114" s="1" t="s">
        <v>100</v>
      </c>
      <c r="G114" s="1" t="s">
        <v>100</v>
      </c>
    </row>
    <row r="115" spans="1:9" x14ac:dyDescent="0.2">
      <c r="B115" s="4" t="s">
        <v>26</v>
      </c>
      <c r="D115" s="51" t="s">
        <v>76</v>
      </c>
      <c r="E115" s="51"/>
      <c r="F115" s="37" t="s">
        <v>45</v>
      </c>
      <c r="G115" s="37"/>
    </row>
    <row r="116" spans="1:9" ht="12.75" thickBot="1" x14ac:dyDescent="0.25">
      <c r="B116" s="3" t="s">
        <v>27</v>
      </c>
      <c r="D116" s="51"/>
      <c r="E116" s="51"/>
      <c r="F116" s="37"/>
      <c r="G116" s="37"/>
    </row>
    <row r="117" spans="1:9" ht="12.75" thickBot="1" x14ac:dyDescent="0.25">
      <c r="B117" s="6" t="s">
        <v>29</v>
      </c>
      <c r="C117" s="35"/>
      <c r="D117" s="35"/>
      <c r="E117" s="35"/>
      <c r="F117" s="70"/>
      <c r="G117" s="70"/>
    </row>
    <row r="118" spans="1:9" x14ac:dyDescent="0.2">
      <c r="B118" s="5" t="s">
        <v>28</v>
      </c>
      <c r="C118" s="36"/>
      <c r="D118" s="36"/>
      <c r="E118" s="36"/>
      <c r="F118" s="36"/>
      <c r="G118" s="36"/>
    </row>
    <row r="121" spans="1:9" x14ac:dyDescent="0.2">
      <c r="A121" s="41" t="s">
        <v>47</v>
      </c>
    </row>
    <row r="122" spans="1:9" x14ac:dyDescent="0.2">
      <c r="A122" s="23" t="s">
        <v>98</v>
      </c>
    </row>
    <row r="124" spans="1:9" ht="15.75" x14ac:dyDescent="0.2">
      <c r="A124" s="34" t="s">
        <v>90</v>
      </c>
    </row>
    <row r="125" spans="1:9" x14ac:dyDescent="0.2">
      <c r="B125" s="59" t="s">
        <v>107</v>
      </c>
      <c r="C125" s="60" t="s">
        <v>108</v>
      </c>
      <c r="D125" s="60" t="s">
        <v>0</v>
      </c>
      <c r="E125" s="1">
        <v>2000</v>
      </c>
      <c r="F125" s="1">
        <v>2001</v>
      </c>
      <c r="G125" s="1">
        <v>2002</v>
      </c>
      <c r="H125" s="1">
        <v>2003</v>
      </c>
      <c r="I125" s="42" t="s">
        <v>106</v>
      </c>
    </row>
    <row r="126" spans="1:9" x14ac:dyDescent="0.2">
      <c r="B126" s="4" t="s">
        <v>89</v>
      </c>
      <c r="C126" t="s">
        <v>109</v>
      </c>
      <c r="D126" s="23" t="s">
        <v>112</v>
      </c>
      <c r="E126" s="77">
        <v>1000000</v>
      </c>
      <c r="F126" s="9">
        <f t="shared" ref="F126:G128" si="0">E126+($H126-$E126)/3</f>
        <v>1000000</v>
      </c>
      <c r="G126" s="9">
        <f t="shared" si="0"/>
        <v>1000000</v>
      </c>
      <c r="H126" s="8">
        <v>1000000</v>
      </c>
    </row>
    <row r="127" spans="1:9" x14ac:dyDescent="0.2">
      <c r="B127" s="4" t="s">
        <v>87</v>
      </c>
      <c r="C127" t="s">
        <v>109</v>
      </c>
      <c r="D127" s="23" t="s">
        <v>112</v>
      </c>
      <c r="E127" s="10">
        <v>100000</v>
      </c>
      <c r="F127" s="9">
        <f t="shared" si="0"/>
        <v>133333.33333333334</v>
      </c>
      <c r="G127" s="9">
        <f t="shared" si="0"/>
        <v>166666.66666666669</v>
      </c>
      <c r="H127" s="8">
        <v>200000</v>
      </c>
    </row>
    <row r="128" spans="1:9" x14ac:dyDescent="0.2">
      <c r="B128" s="4" t="s">
        <v>88</v>
      </c>
      <c r="C128" t="s">
        <v>109</v>
      </c>
      <c r="D128" s="23" t="s">
        <v>112</v>
      </c>
      <c r="E128" s="52">
        <v>50000</v>
      </c>
      <c r="F128" s="9">
        <f t="shared" si="0"/>
        <v>100000</v>
      </c>
      <c r="G128" s="9">
        <f t="shared" si="0"/>
        <v>150000</v>
      </c>
      <c r="H128" s="8">
        <v>200000</v>
      </c>
    </row>
    <row r="129" spans="1:9" x14ac:dyDescent="0.2">
      <c r="B129" s="5" t="s">
        <v>91</v>
      </c>
      <c r="C129" s="36" t="s">
        <v>109</v>
      </c>
      <c r="D129" s="36"/>
      <c r="E129" s="55">
        <f>SUM(E126:E128)</f>
        <v>1150000</v>
      </c>
      <c r="F129" s="55">
        <f>SUM(F126:F128)</f>
        <v>1233333.3333333333</v>
      </c>
      <c r="G129" s="55">
        <f>SUM(G126:G128)</f>
        <v>1316666.6666666667</v>
      </c>
      <c r="H129" s="55">
        <f>SUM(H126:H128)</f>
        <v>1400000</v>
      </c>
    </row>
    <row r="130" spans="1:9" x14ac:dyDescent="0.2">
      <c r="B130" s="54"/>
      <c r="D130" s="54"/>
      <c r="E130" s="54"/>
      <c r="F130" s="54"/>
      <c r="G130" s="54"/>
    </row>
    <row r="131" spans="1:9" ht="15.75" x14ac:dyDescent="0.2">
      <c r="A131" s="34" t="s">
        <v>90</v>
      </c>
    </row>
    <row r="132" spans="1:9" x14ac:dyDescent="0.2">
      <c r="B132" s="59" t="s">
        <v>107</v>
      </c>
      <c r="C132" s="60" t="s">
        <v>108</v>
      </c>
      <c r="D132" s="60" t="s">
        <v>0</v>
      </c>
      <c r="E132" s="1">
        <v>2000</v>
      </c>
      <c r="F132" s="1">
        <v>2001</v>
      </c>
      <c r="G132" s="1">
        <v>2002</v>
      </c>
      <c r="H132" s="1">
        <v>2003</v>
      </c>
    </row>
    <row r="133" spans="1:9" x14ac:dyDescent="0.2">
      <c r="B133" s="4" t="s">
        <v>89</v>
      </c>
      <c r="C133" t="s">
        <v>109</v>
      </c>
      <c r="D133" s="23" t="s">
        <v>110</v>
      </c>
      <c r="E133" s="11">
        <f t="array" ref="E133:H135">$E$126:$H$128</f>
        <v>1000000</v>
      </c>
      <c r="F133" s="11">
        <v>1000000</v>
      </c>
      <c r="G133" s="11">
        <v>1000000</v>
      </c>
      <c r="H133" s="11">
        <v>1000000</v>
      </c>
    </row>
    <row r="134" spans="1:9" x14ac:dyDescent="0.2">
      <c r="B134" s="4" t="s">
        <v>87</v>
      </c>
      <c r="C134" t="s">
        <v>109</v>
      </c>
      <c r="D134" s="23" t="s">
        <v>110</v>
      </c>
      <c r="E134" s="11">
        <v>100000</v>
      </c>
      <c r="F134" s="11">
        <v>133333.33333333334</v>
      </c>
      <c r="G134" s="11">
        <v>166666.66666666669</v>
      </c>
      <c r="H134" s="11">
        <v>200000</v>
      </c>
    </row>
    <row r="135" spans="1:9" x14ac:dyDescent="0.2">
      <c r="B135" s="4" t="s">
        <v>88</v>
      </c>
      <c r="C135" t="s">
        <v>109</v>
      </c>
      <c r="D135" s="23" t="s">
        <v>111</v>
      </c>
      <c r="E135" s="61">
        <v>50000</v>
      </c>
      <c r="F135" s="61">
        <v>100000</v>
      </c>
      <c r="G135" s="61">
        <v>150000</v>
      </c>
      <c r="H135" s="61">
        <v>200000</v>
      </c>
    </row>
    <row r="136" spans="1:9" x14ac:dyDescent="0.2">
      <c r="B136" s="5" t="s">
        <v>91</v>
      </c>
      <c r="C136" s="36" t="s">
        <v>109</v>
      </c>
      <c r="D136" s="36"/>
      <c r="E136" s="55">
        <f>SUM(E133:E135)</f>
        <v>1150000</v>
      </c>
      <c r="F136" s="55">
        <f>SUM(F133:F135)</f>
        <v>1233333.3333333333</v>
      </c>
      <c r="G136" s="55">
        <f>SUM(G133:G135)</f>
        <v>1316666.6666666667</v>
      </c>
      <c r="H136" s="55">
        <f>SUM(H133:H135)</f>
        <v>1400000</v>
      </c>
    </row>
    <row r="137" spans="1:9" x14ac:dyDescent="0.2">
      <c r="B137" s="54"/>
      <c r="C137" s="54"/>
      <c r="D137" s="54"/>
      <c r="E137" s="54"/>
      <c r="F137" s="54"/>
      <c r="G137" s="54"/>
    </row>
    <row r="139" spans="1:9" ht="15.75" x14ac:dyDescent="0.2">
      <c r="A139" s="34" t="s">
        <v>95</v>
      </c>
    </row>
    <row r="140" spans="1:9" x14ac:dyDescent="0.2">
      <c r="B140" s="59" t="s">
        <v>107</v>
      </c>
      <c r="C140" s="60" t="s">
        <v>108</v>
      </c>
      <c r="D140" s="60" t="s">
        <v>0</v>
      </c>
      <c r="E140" s="1">
        <v>2000</v>
      </c>
      <c r="F140" s="1">
        <v>2001</v>
      </c>
      <c r="G140" s="1">
        <v>2002</v>
      </c>
      <c r="H140" s="1">
        <v>2003</v>
      </c>
    </row>
    <row r="141" spans="1:9" x14ac:dyDescent="0.2">
      <c r="B141" s="4" t="s">
        <v>89</v>
      </c>
      <c r="C141" t="s">
        <v>109</v>
      </c>
      <c r="D141" s="23"/>
      <c r="E141" s="2"/>
      <c r="F141" s="12">
        <f t="shared" ref="F141:H143" si="1">(F133+E133)/2</f>
        <v>1000000</v>
      </c>
      <c r="G141" s="12">
        <f t="shared" si="1"/>
        <v>1000000</v>
      </c>
      <c r="H141" s="12">
        <f t="shared" si="1"/>
        <v>1000000</v>
      </c>
    </row>
    <row r="142" spans="1:9" x14ac:dyDescent="0.2">
      <c r="B142" s="4" t="s">
        <v>87</v>
      </c>
      <c r="C142" t="s">
        <v>109</v>
      </c>
      <c r="D142" s="23"/>
      <c r="E142" s="2"/>
      <c r="F142" s="12">
        <f t="shared" si="1"/>
        <v>116666.66666666667</v>
      </c>
      <c r="G142" s="12">
        <f t="shared" si="1"/>
        <v>150000</v>
      </c>
      <c r="H142" s="12">
        <f t="shared" si="1"/>
        <v>183333.33333333334</v>
      </c>
    </row>
    <row r="143" spans="1:9" x14ac:dyDescent="0.2">
      <c r="B143" s="4" t="s">
        <v>88</v>
      </c>
      <c r="C143" t="s">
        <v>109</v>
      </c>
      <c r="D143" s="23"/>
      <c r="E143" s="2"/>
      <c r="F143" s="12">
        <f t="shared" si="1"/>
        <v>75000</v>
      </c>
      <c r="G143" s="12">
        <f t="shared" si="1"/>
        <v>125000</v>
      </c>
      <c r="H143" s="12">
        <f t="shared" si="1"/>
        <v>175000</v>
      </c>
    </row>
    <row r="144" spans="1:9" x14ac:dyDescent="0.2">
      <c r="B144" s="57" t="s">
        <v>91</v>
      </c>
      <c r="C144" s="65" t="s">
        <v>109</v>
      </c>
      <c r="D144" s="65"/>
      <c r="E144" s="56"/>
      <c r="F144" s="56">
        <f>SUM(F141:F143)</f>
        <v>1191666.6666666667</v>
      </c>
      <c r="G144" s="56">
        <f>SUM(G141:G143)</f>
        <v>1275000</v>
      </c>
      <c r="H144" s="56">
        <f>SUM(H141:H143)</f>
        <v>1358333.3333333333</v>
      </c>
      <c r="I144" s="42" t="s">
        <v>97</v>
      </c>
    </row>
    <row r="145" spans="2:6" x14ac:dyDescent="0.2">
      <c r="B145" s="54"/>
      <c r="C145" s="54"/>
      <c r="D145" s="54"/>
      <c r="E145" s="54"/>
      <c r="F145" s="54"/>
    </row>
  </sheetData>
  <phoneticPr fontId="0" type="noConversion"/>
  <conditionalFormatting sqref="C43">
    <cfRule type="cellIs" dxfId="0" priority="1" stopIfTrue="1" operator="notEqual">
      <formula>0</formula>
    </cfRule>
  </conditionalFormatting>
  <dataValidations disablePrompts="1" count="2">
    <dataValidation type="list" showInputMessage="1" showErrorMessage="1" errorTitle="Input Parameter" error="Please select value from list" promptTitle="Input Parameter" prompt="Select from list" sqref="C16">
      <formula1>$C$17:$C$19</formula1>
    </dataValidation>
    <dataValidation type="decimal" showInputMessage="1" showErrorMessage="1" errorTitle="Input Parameter" error="Value must lie between 100 and 300" promptTitle="Input Parameter" prompt="Value must lie between 100 and 300" sqref="C12">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4" max="16383" man="1"/>
    <brk id="86" max="16383" man="1"/>
    <brk id="1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sheetPr>
  <dimension ref="B1:K88"/>
  <sheetViews>
    <sheetView showGridLines="0" defaultGridColor="0" colorId="22" zoomScaleNormal="100" workbookViewId="0">
      <pane ySplit="1" topLeftCell="A2" activePane="bottomLeft" state="frozen"/>
      <selection pane="bottomLeft" activeCell="B29" sqref="B29"/>
    </sheetView>
  </sheetViews>
  <sheetFormatPr baseColWidth="10" defaultColWidth="12.7109375" defaultRowHeight="12" outlineLevelRow="1" x14ac:dyDescent="0.2"/>
  <cols>
    <col min="1" max="1" width="6.7109375" style="41" customWidth="1"/>
    <col min="2" max="2" width="12.7109375" style="41"/>
    <col min="3" max="3" width="43.85546875" style="41" customWidth="1"/>
    <col min="4" max="7" width="17.42578125" style="41" customWidth="1"/>
    <col min="8" max="10" width="17" style="41" customWidth="1"/>
    <col min="11" max="16384" width="12.7109375" style="41"/>
  </cols>
  <sheetData>
    <row r="1" spans="3:8" s="79" customFormat="1" ht="33.75" customHeight="1" x14ac:dyDescent="0.2">
      <c r="C1" s="80" t="s">
        <v>216</v>
      </c>
    </row>
    <row r="3" spans="3:8" x14ac:dyDescent="0.2">
      <c r="C3" s="42" t="s">
        <v>147</v>
      </c>
      <c r="D3" s="81">
        <v>0.21</v>
      </c>
    </row>
    <row r="5" spans="3:8" x14ac:dyDescent="0.2">
      <c r="C5" s="90"/>
      <c r="D5" s="1" t="s">
        <v>284</v>
      </c>
      <c r="E5" s="1" t="s">
        <v>283</v>
      </c>
      <c r="F5" s="1" t="s">
        <v>220</v>
      </c>
      <c r="G5" s="1" t="s">
        <v>285</v>
      </c>
    </row>
    <row r="6" spans="3:8" x14ac:dyDescent="0.2">
      <c r="C6" s="91" t="s">
        <v>133</v>
      </c>
      <c r="D6" s="85"/>
      <c r="E6" s="88"/>
      <c r="F6" s="84"/>
      <c r="G6" s="82">
        <v>0</v>
      </c>
    </row>
    <row r="7" spans="3:8" x14ac:dyDescent="0.2">
      <c r="C7" s="103" t="s">
        <v>128</v>
      </c>
      <c r="D7" s="103"/>
      <c r="E7" s="103"/>
      <c r="F7" s="103"/>
      <c r="G7" s="103"/>
    </row>
    <row r="8" spans="3:8" outlineLevel="1" x14ac:dyDescent="0.2">
      <c r="C8" s="91" t="s">
        <v>151</v>
      </c>
      <c r="D8" s="86">
        <v>12</v>
      </c>
      <c r="E8" s="88">
        <v>1</v>
      </c>
      <c r="F8" s="83">
        <f t="shared" ref="F8:F62" si="0">D8*E8</f>
        <v>12</v>
      </c>
      <c r="G8" s="83">
        <f t="shared" ref="G8:G62" si="1">F8/(1+VAT.rate)</f>
        <v>9.9173553719008272</v>
      </c>
    </row>
    <row r="9" spans="3:8" outlineLevel="1" x14ac:dyDescent="0.2">
      <c r="C9" s="91" t="s">
        <v>187</v>
      </c>
      <c r="D9" s="86">
        <v>4</v>
      </c>
      <c r="E9" s="88">
        <v>1</v>
      </c>
      <c r="F9" s="83">
        <f t="shared" si="0"/>
        <v>4</v>
      </c>
      <c r="G9" s="83">
        <f t="shared" si="1"/>
        <v>3.3057851239669422</v>
      </c>
    </row>
    <row r="10" spans="3:8" outlineLevel="1" x14ac:dyDescent="0.2">
      <c r="C10" s="91" t="s">
        <v>177</v>
      </c>
      <c r="D10" s="85">
        <v>26.99</v>
      </c>
      <c r="E10" s="88">
        <v>1</v>
      </c>
      <c r="F10" s="83">
        <f t="shared" si="0"/>
        <v>26.99</v>
      </c>
      <c r="G10" s="83">
        <f t="shared" si="1"/>
        <v>22.305785123966942</v>
      </c>
    </row>
    <row r="11" spans="3:8" outlineLevel="1" x14ac:dyDescent="0.2">
      <c r="C11" s="91" t="s">
        <v>178</v>
      </c>
      <c r="D11" s="85">
        <v>49.39</v>
      </c>
      <c r="E11" s="88">
        <v>1</v>
      </c>
      <c r="F11" s="83">
        <f t="shared" si="0"/>
        <v>49.39</v>
      </c>
      <c r="G11" s="83">
        <f t="shared" si="1"/>
        <v>40.81818181818182</v>
      </c>
    </row>
    <row r="12" spans="3:8" outlineLevel="1" x14ac:dyDescent="0.2">
      <c r="C12" s="91" t="s">
        <v>179</v>
      </c>
      <c r="D12" s="85">
        <v>70.790000000000006</v>
      </c>
      <c r="E12" s="88">
        <v>1</v>
      </c>
      <c r="F12" s="83">
        <f t="shared" si="0"/>
        <v>70.790000000000006</v>
      </c>
      <c r="G12" s="83">
        <f t="shared" si="1"/>
        <v>58.504132231404967</v>
      </c>
    </row>
    <row r="13" spans="3:8" outlineLevel="1" x14ac:dyDescent="0.2">
      <c r="C13" s="91" t="s">
        <v>204</v>
      </c>
      <c r="D13" s="82">
        <v>27.45</v>
      </c>
      <c r="E13" s="105">
        <v>0.25</v>
      </c>
      <c r="F13" s="83">
        <f t="shared" ref="F13" si="2">D13*E13</f>
        <v>6.8624999999999998</v>
      </c>
      <c r="G13" s="83">
        <f t="shared" ref="G13" si="3">F13/(1+VAT.rate)</f>
        <v>5.6714876033057848</v>
      </c>
    </row>
    <row r="14" spans="3:8" outlineLevel="1" x14ac:dyDescent="0.2">
      <c r="C14" s="91" t="s">
        <v>203</v>
      </c>
      <c r="D14" s="82">
        <v>27.45</v>
      </c>
      <c r="E14" s="105">
        <v>0.25</v>
      </c>
      <c r="F14" s="83">
        <f t="shared" ref="F14" si="4">D14*E14</f>
        <v>6.8624999999999998</v>
      </c>
      <c r="G14" s="83">
        <f t="shared" ref="G14" si="5">F14/(1+VAT.rate)</f>
        <v>5.6714876033057848</v>
      </c>
      <c r="H14" s="15"/>
    </row>
    <row r="15" spans="3:8" outlineLevel="1" x14ac:dyDescent="0.2">
      <c r="C15" s="91" t="s">
        <v>169</v>
      </c>
      <c r="D15" s="82">
        <v>21.95</v>
      </c>
      <c r="E15" s="105">
        <v>0.25</v>
      </c>
      <c r="F15" s="83">
        <f t="shared" si="0"/>
        <v>5.4874999999999998</v>
      </c>
      <c r="G15" s="83">
        <f t="shared" si="1"/>
        <v>4.535123966942149</v>
      </c>
    </row>
    <row r="16" spans="3:8" outlineLevel="1" x14ac:dyDescent="0.2">
      <c r="C16" s="91" t="s">
        <v>170</v>
      </c>
      <c r="D16" s="82">
        <v>16.45</v>
      </c>
      <c r="E16" s="105">
        <v>0.25</v>
      </c>
      <c r="F16" s="83">
        <f t="shared" si="0"/>
        <v>4.1124999999999998</v>
      </c>
      <c r="G16" s="83">
        <f t="shared" si="1"/>
        <v>3.3987603305785123</v>
      </c>
    </row>
    <row r="17" spans="3:7" outlineLevel="1" x14ac:dyDescent="0.2">
      <c r="C17" s="91" t="s">
        <v>162</v>
      </c>
      <c r="D17" s="86">
        <v>5</v>
      </c>
      <c r="E17" s="88">
        <v>1</v>
      </c>
      <c r="F17" s="83">
        <f t="shared" si="0"/>
        <v>5</v>
      </c>
      <c r="G17" s="83">
        <f t="shared" si="1"/>
        <v>4.1322314049586781</v>
      </c>
    </row>
    <row r="18" spans="3:7" outlineLevel="1" x14ac:dyDescent="0.2">
      <c r="C18" s="91" t="s">
        <v>157</v>
      </c>
      <c r="D18" s="86">
        <v>2</v>
      </c>
      <c r="E18" s="88">
        <v>1</v>
      </c>
      <c r="F18" s="83">
        <f t="shared" si="0"/>
        <v>2</v>
      </c>
      <c r="G18" s="83">
        <f t="shared" si="1"/>
        <v>1.6528925619834711</v>
      </c>
    </row>
    <row r="19" spans="3:7" outlineLevel="1" x14ac:dyDescent="0.2">
      <c r="C19" s="91" t="s">
        <v>160</v>
      </c>
      <c r="D19" s="86">
        <v>1</v>
      </c>
      <c r="E19" s="88">
        <v>1</v>
      </c>
      <c r="F19" s="83">
        <f t="shared" si="0"/>
        <v>1</v>
      </c>
      <c r="G19" s="83">
        <f t="shared" si="1"/>
        <v>0.82644628099173556</v>
      </c>
    </row>
    <row r="20" spans="3:7" outlineLevel="1" x14ac:dyDescent="0.2">
      <c r="C20" s="91" t="s">
        <v>153</v>
      </c>
      <c r="D20" s="86">
        <v>0.5</v>
      </c>
      <c r="E20" s="88">
        <v>1</v>
      </c>
      <c r="F20" s="83">
        <f t="shared" si="0"/>
        <v>0.5</v>
      </c>
      <c r="G20" s="83">
        <f t="shared" si="1"/>
        <v>0.41322314049586778</v>
      </c>
    </row>
    <row r="21" spans="3:7" outlineLevel="1" x14ac:dyDescent="0.2">
      <c r="C21" s="91" t="s">
        <v>154</v>
      </c>
      <c r="D21" s="85">
        <v>8.6999999999999993</v>
      </c>
      <c r="E21" s="88">
        <v>1</v>
      </c>
      <c r="F21" s="83">
        <f t="shared" si="0"/>
        <v>8.6999999999999993</v>
      </c>
      <c r="G21" s="83">
        <f t="shared" si="1"/>
        <v>7.1900826446280988</v>
      </c>
    </row>
    <row r="22" spans="3:7" outlineLevel="1" x14ac:dyDescent="0.2">
      <c r="C22" s="91" t="s">
        <v>165</v>
      </c>
      <c r="D22" s="86">
        <v>2.5</v>
      </c>
      <c r="E22" s="88">
        <v>1</v>
      </c>
      <c r="F22" s="83">
        <f t="shared" si="0"/>
        <v>2.5</v>
      </c>
      <c r="G22" s="83">
        <f t="shared" si="1"/>
        <v>2.0661157024793391</v>
      </c>
    </row>
    <row r="23" spans="3:7" outlineLevel="1" x14ac:dyDescent="0.2">
      <c r="C23" s="78" t="s">
        <v>176</v>
      </c>
      <c r="D23" s="86">
        <v>21.7</v>
      </c>
      <c r="E23" s="88">
        <v>1</v>
      </c>
      <c r="F23" s="83">
        <f t="shared" si="0"/>
        <v>21.7</v>
      </c>
      <c r="G23" s="83">
        <f t="shared" si="1"/>
        <v>17.93388429752066</v>
      </c>
    </row>
    <row r="24" spans="3:7" x14ac:dyDescent="0.2">
      <c r="C24" s="103" t="s">
        <v>129</v>
      </c>
      <c r="D24" s="103"/>
      <c r="E24" s="103"/>
      <c r="F24" s="103"/>
      <c r="G24" s="103"/>
    </row>
    <row r="25" spans="3:7" outlineLevel="1" x14ac:dyDescent="0.2">
      <c r="C25" s="91" t="s">
        <v>152</v>
      </c>
      <c r="D25" s="86">
        <v>13.53</v>
      </c>
      <c r="E25" s="88">
        <v>1</v>
      </c>
      <c r="F25" s="83">
        <f t="shared" si="0"/>
        <v>13.53</v>
      </c>
      <c r="G25" s="83">
        <f t="shared" si="1"/>
        <v>11.181818181818182</v>
      </c>
    </row>
    <row r="26" spans="3:7" outlineLevel="1" x14ac:dyDescent="0.2">
      <c r="C26" s="91" t="s">
        <v>201</v>
      </c>
      <c r="D26" s="86">
        <v>3.97</v>
      </c>
      <c r="E26" s="88">
        <v>1</v>
      </c>
      <c r="F26" s="83">
        <f t="shared" si="0"/>
        <v>3.97</v>
      </c>
      <c r="G26" s="83">
        <f t="shared" si="1"/>
        <v>3.2809917355371905</v>
      </c>
    </row>
    <row r="27" spans="3:7" outlineLevel="1" x14ac:dyDescent="0.2">
      <c r="C27" s="91" t="s">
        <v>202</v>
      </c>
      <c r="D27" s="86">
        <v>3.48</v>
      </c>
      <c r="E27" s="88">
        <v>1</v>
      </c>
      <c r="F27" s="83">
        <f t="shared" ref="F27" si="6">D27*E27</f>
        <v>3.48</v>
      </c>
      <c r="G27" s="83">
        <f t="shared" ref="G27" si="7">F27/(1+VAT.rate)</f>
        <v>2.8760330578512399</v>
      </c>
    </row>
    <row r="28" spans="3:7" outlineLevel="1" x14ac:dyDescent="0.2">
      <c r="C28" s="91" t="s">
        <v>198</v>
      </c>
      <c r="D28" s="86">
        <v>0</v>
      </c>
      <c r="E28" s="88">
        <v>1</v>
      </c>
      <c r="F28" s="83">
        <f t="shared" ref="F28" si="8">D28*E28</f>
        <v>0</v>
      </c>
      <c r="G28" s="83">
        <f t="shared" ref="G28" si="9">F28/(1+VAT.rate)</f>
        <v>0</v>
      </c>
    </row>
    <row r="29" spans="3:7" outlineLevel="1" x14ac:dyDescent="0.2">
      <c r="C29" s="91" t="s">
        <v>199</v>
      </c>
      <c r="D29" s="86">
        <v>0.49</v>
      </c>
      <c r="E29" s="88">
        <v>1</v>
      </c>
      <c r="F29" s="83">
        <f t="shared" ref="F29" si="10">D29*E29</f>
        <v>0.49</v>
      </c>
      <c r="G29" s="83">
        <f t="shared" ref="G29" si="11">F29/(1+VAT.rate)</f>
        <v>0.4049586776859504</v>
      </c>
    </row>
    <row r="30" spans="3:7" outlineLevel="1" x14ac:dyDescent="0.2">
      <c r="C30" s="91" t="s">
        <v>180</v>
      </c>
      <c r="D30" s="85">
        <v>24.95</v>
      </c>
      <c r="E30" s="88">
        <v>1</v>
      </c>
      <c r="F30" s="83">
        <f t="shared" si="0"/>
        <v>24.95</v>
      </c>
      <c r="G30" s="83">
        <f t="shared" si="1"/>
        <v>20.619834710743802</v>
      </c>
    </row>
    <row r="31" spans="3:7" outlineLevel="1" x14ac:dyDescent="0.2">
      <c r="C31" s="91" t="s">
        <v>182</v>
      </c>
      <c r="D31" s="85">
        <v>35.950000000000003</v>
      </c>
      <c r="E31" s="88">
        <v>1</v>
      </c>
      <c r="F31" s="83">
        <f t="shared" si="0"/>
        <v>35.950000000000003</v>
      </c>
      <c r="G31" s="83">
        <f t="shared" si="1"/>
        <v>29.710743801652896</v>
      </c>
    </row>
    <row r="32" spans="3:7" outlineLevel="1" x14ac:dyDescent="0.2">
      <c r="C32" s="91" t="s">
        <v>181</v>
      </c>
      <c r="D32" s="85">
        <v>45.95</v>
      </c>
      <c r="E32" s="88">
        <v>1</v>
      </c>
      <c r="F32" s="83">
        <f t="shared" si="0"/>
        <v>45.95</v>
      </c>
      <c r="G32" s="83">
        <f t="shared" si="1"/>
        <v>37.97520661157025</v>
      </c>
    </row>
    <row r="33" spans="3:8" outlineLevel="1" x14ac:dyDescent="0.2">
      <c r="C33" s="91" t="s">
        <v>183</v>
      </c>
      <c r="D33" s="85">
        <v>56.95</v>
      </c>
      <c r="E33" s="88">
        <v>1</v>
      </c>
      <c r="F33" s="83">
        <f t="shared" si="0"/>
        <v>56.95</v>
      </c>
      <c r="G33" s="83">
        <f t="shared" si="1"/>
        <v>47.066115702479344</v>
      </c>
    </row>
    <row r="34" spans="3:8" outlineLevel="1" x14ac:dyDescent="0.2">
      <c r="C34" s="91" t="s">
        <v>184</v>
      </c>
      <c r="D34" s="85">
        <v>76.95</v>
      </c>
      <c r="E34" s="88">
        <v>1</v>
      </c>
      <c r="F34" s="83">
        <f t="shared" si="0"/>
        <v>76.95</v>
      </c>
      <c r="G34" s="83">
        <f t="shared" si="1"/>
        <v>63.595041322314053</v>
      </c>
    </row>
    <row r="35" spans="3:8" outlineLevel="1" x14ac:dyDescent="0.2">
      <c r="C35" s="91" t="s">
        <v>193</v>
      </c>
      <c r="D35" s="82">
        <v>9.9</v>
      </c>
      <c r="E35" s="105">
        <v>0.25</v>
      </c>
      <c r="F35" s="83">
        <f>D35*E35</f>
        <v>2.4750000000000001</v>
      </c>
      <c r="G35" s="83">
        <f>F35/(1+VAT.rate)</f>
        <v>2.0454545454545454</v>
      </c>
    </row>
    <row r="36" spans="3:8" outlineLevel="1" x14ac:dyDescent="0.2">
      <c r="C36" s="91" t="s">
        <v>194</v>
      </c>
      <c r="D36" s="85">
        <v>2</v>
      </c>
      <c r="E36" s="105">
        <v>0.25</v>
      </c>
      <c r="F36" s="83">
        <f>D36*E36</f>
        <v>0.5</v>
      </c>
      <c r="G36" s="83">
        <f>F36/(1+VAT.rate)</f>
        <v>0.41322314049586778</v>
      </c>
    </row>
    <row r="37" spans="3:8" outlineLevel="1" x14ac:dyDescent="0.2">
      <c r="C37" s="91" t="s">
        <v>195</v>
      </c>
      <c r="D37" s="82">
        <v>9.9</v>
      </c>
      <c r="E37" s="105">
        <v>0.25</v>
      </c>
      <c r="F37" s="83">
        <f>D37*E37</f>
        <v>2.4750000000000001</v>
      </c>
      <c r="G37" s="83">
        <f>F37/(1+VAT.rate)</f>
        <v>2.0454545454545454</v>
      </c>
      <c r="H37" s="15"/>
    </row>
    <row r="38" spans="3:8" outlineLevel="1" x14ac:dyDescent="0.2">
      <c r="C38" s="91" t="s">
        <v>196</v>
      </c>
      <c r="D38" s="85">
        <v>2</v>
      </c>
      <c r="E38" s="105">
        <v>0.25</v>
      </c>
      <c r="F38" s="83">
        <f>D38*E38</f>
        <v>0.5</v>
      </c>
      <c r="G38" s="83">
        <f>F38/(1+VAT.rate)</f>
        <v>0.41322314049586778</v>
      </c>
    </row>
    <row r="39" spans="3:8" outlineLevel="1" x14ac:dyDescent="0.2">
      <c r="C39" s="91" t="s">
        <v>163</v>
      </c>
      <c r="D39" s="86">
        <f>D17</f>
        <v>5</v>
      </c>
      <c r="E39" s="88">
        <v>1</v>
      </c>
      <c r="F39" s="83">
        <f t="shared" si="0"/>
        <v>5</v>
      </c>
      <c r="G39" s="83">
        <f t="shared" si="1"/>
        <v>4.1322314049586781</v>
      </c>
    </row>
    <row r="40" spans="3:8" outlineLevel="1" x14ac:dyDescent="0.2">
      <c r="C40" s="91" t="s">
        <v>158</v>
      </c>
      <c r="D40" s="86">
        <f>D18</f>
        <v>2</v>
      </c>
      <c r="E40" s="88">
        <v>1</v>
      </c>
      <c r="F40" s="83">
        <f t="shared" si="0"/>
        <v>2</v>
      </c>
      <c r="G40" s="83">
        <f t="shared" si="1"/>
        <v>1.6528925619834711</v>
      </c>
    </row>
    <row r="41" spans="3:8" outlineLevel="1" x14ac:dyDescent="0.2">
      <c r="C41" s="91" t="s">
        <v>155</v>
      </c>
      <c r="D41" s="85">
        <v>7.45</v>
      </c>
      <c r="E41" s="88">
        <v>1</v>
      </c>
      <c r="F41" s="83">
        <f t="shared" si="0"/>
        <v>7.45</v>
      </c>
      <c r="G41" s="83">
        <f t="shared" si="1"/>
        <v>6.1570247933884303</v>
      </c>
    </row>
    <row r="42" spans="3:8" outlineLevel="1" x14ac:dyDescent="0.2">
      <c r="C42" s="91" t="s">
        <v>166</v>
      </c>
      <c r="D42" s="85">
        <f>D22</f>
        <v>2.5</v>
      </c>
      <c r="E42" s="88">
        <v>1</v>
      </c>
      <c r="F42" s="83">
        <f t="shared" si="0"/>
        <v>2.5</v>
      </c>
      <c r="G42" s="83">
        <f t="shared" si="1"/>
        <v>2.0661157024793391</v>
      </c>
    </row>
    <row r="43" spans="3:8" outlineLevel="1" x14ac:dyDescent="0.2">
      <c r="C43" s="78" t="s">
        <v>171</v>
      </c>
      <c r="D43" s="85">
        <v>8.9499999999999993</v>
      </c>
      <c r="E43" s="88">
        <v>1</v>
      </c>
      <c r="F43" s="83">
        <f t="shared" si="0"/>
        <v>8.9499999999999993</v>
      </c>
      <c r="G43" s="83">
        <f t="shared" si="1"/>
        <v>7.3966942148760326</v>
      </c>
    </row>
    <row r="44" spans="3:8" outlineLevel="1" x14ac:dyDescent="0.2">
      <c r="C44" s="78" t="s">
        <v>172</v>
      </c>
      <c r="D44" s="85">
        <v>18.95</v>
      </c>
      <c r="E44" s="93">
        <v>1</v>
      </c>
      <c r="F44" s="83">
        <f t="shared" si="0"/>
        <v>18.95</v>
      </c>
      <c r="G44" s="83">
        <f t="shared" si="1"/>
        <v>15.661157024793388</v>
      </c>
    </row>
    <row r="45" spans="3:8" x14ac:dyDescent="0.2">
      <c r="C45" s="103" t="s">
        <v>127</v>
      </c>
      <c r="D45" s="103"/>
      <c r="E45" s="103"/>
      <c r="F45" s="103"/>
      <c r="G45" s="103"/>
    </row>
    <row r="46" spans="3:8" outlineLevel="1" x14ac:dyDescent="0.2">
      <c r="C46" s="91" t="s">
        <v>150</v>
      </c>
      <c r="D46" s="86">
        <v>18.8</v>
      </c>
      <c r="E46" s="88">
        <v>1</v>
      </c>
      <c r="F46" s="83">
        <f t="shared" si="0"/>
        <v>18.8</v>
      </c>
      <c r="G46" s="83">
        <f t="shared" si="1"/>
        <v>15.53719008264463</v>
      </c>
    </row>
    <row r="47" spans="3:8" outlineLevel="1" x14ac:dyDescent="0.2">
      <c r="C47" s="91" t="s">
        <v>186</v>
      </c>
      <c r="D47" s="86">
        <v>5.5</v>
      </c>
      <c r="E47" s="88">
        <v>1</v>
      </c>
      <c r="F47" s="83">
        <f t="shared" si="0"/>
        <v>5.5</v>
      </c>
      <c r="G47" s="83">
        <f t="shared" si="1"/>
        <v>4.5454545454545459</v>
      </c>
    </row>
    <row r="48" spans="3:8" outlineLevel="1" x14ac:dyDescent="0.2">
      <c r="C48" s="91" t="s">
        <v>197</v>
      </c>
      <c r="D48" s="86">
        <v>0</v>
      </c>
      <c r="E48" s="88">
        <v>1</v>
      </c>
      <c r="F48" s="83">
        <f t="shared" ref="F48" si="12">D48*E48</f>
        <v>0</v>
      </c>
      <c r="G48" s="83">
        <f t="shared" ref="G48" si="13">F48/(1+VAT.rate)</f>
        <v>0</v>
      </c>
    </row>
    <row r="49" spans="2:8" outlineLevel="1" x14ac:dyDescent="0.2">
      <c r="C49" s="91" t="s">
        <v>213</v>
      </c>
      <c r="D49" s="82">
        <v>31.9</v>
      </c>
      <c r="E49" s="88">
        <v>1</v>
      </c>
      <c r="F49" s="83">
        <f t="shared" si="0"/>
        <v>31.9</v>
      </c>
      <c r="G49" s="83">
        <f t="shared" si="1"/>
        <v>26.363636363636363</v>
      </c>
    </row>
    <row r="50" spans="2:8" outlineLevel="1" x14ac:dyDescent="0.2">
      <c r="C50" s="91" t="s">
        <v>214</v>
      </c>
      <c r="D50" s="85">
        <v>51.9</v>
      </c>
      <c r="E50" s="88">
        <v>1</v>
      </c>
      <c r="F50" s="83">
        <f t="shared" si="0"/>
        <v>51.9</v>
      </c>
      <c r="G50" s="83">
        <f t="shared" si="1"/>
        <v>42.892561983471076</v>
      </c>
    </row>
    <row r="51" spans="2:8" outlineLevel="1" x14ac:dyDescent="0.2">
      <c r="C51" s="91" t="s">
        <v>215</v>
      </c>
      <c r="D51" s="85">
        <v>61.9</v>
      </c>
      <c r="E51" s="88">
        <v>1</v>
      </c>
      <c r="F51" s="83">
        <f t="shared" si="0"/>
        <v>61.9</v>
      </c>
      <c r="G51" s="83">
        <f t="shared" si="1"/>
        <v>51.15702479338843</v>
      </c>
    </row>
    <row r="52" spans="2:8" outlineLevel="1" x14ac:dyDescent="0.2">
      <c r="C52" s="92" t="s">
        <v>190</v>
      </c>
      <c r="D52" s="82">
        <v>5.2</v>
      </c>
      <c r="E52" s="105">
        <v>0.25</v>
      </c>
      <c r="F52" s="83">
        <f t="shared" ref="F52" si="14">D52*E52</f>
        <v>1.3</v>
      </c>
      <c r="G52" s="83">
        <f t="shared" ref="G52" si="15">F52/(1+VAT.rate)</f>
        <v>1.0743801652892562</v>
      </c>
    </row>
    <row r="53" spans="2:8" outlineLevel="1" x14ac:dyDescent="0.2">
      <c r="C53" s="92" t="s">
        <v>168</v>
      </c>
      <c r="D53" s="82">
        <v>5.2</v>
      </c>
      <c r="E53" s="105">
        <v>0.25</v>
      </c>
      <c r="F53" s="83">
        <f t="shared" si="0"/>
        <v>1.3</v>
      </c>
      <c r="G53" s="83">
        <f t="shared" si="1"/>
        <v>1.0743801652892562</v>
      </c>
      <c r="H53" s="15"/>
    </row>
    <row r="54" spans="2:8" outlineLevel="1" x14ac:dyDescent="0.2">
      <c r="C54" s="91" t="s">
        <v>164</v>
      </c>
      <c r="D54" s="82">
        <f>D17</f>
        <v>5</v>
      </c>
      <c r="E54" s="93">
        <v>1</v>
      </c>
      <c r="F54" s="83">
        <f t="shared" si="0"/>
        <v>5</v>
      </c>
      <c r="G54" s="83">
        <f t="shared" si="1"/>
        <v>4.1322314049586781</v>
      </c>
      <c r="H54" s="15"/>
    </row>
    <row r="55" spans="2:8" outlineLevel="1" x14ac:dyDescent="0.2">
      <c r="C55" s="91" t="s">
        <v>159</v>
      </c>
      <c r="D55" s="82">
        <f>D18</f>
        <v>2</v>
      </c>
      <c r="E55" s="93">
        <v>1</v>
      </c>
      <c r="F55" s="83">
        <f t="shared" si="0"/>
        <v>2</v>
      </c>
      <c r="G55" s="83">
        <f t="shared" si="1"/>
        <v>1.6528925619834711</v>
      </c>
    </row>
    <row r="56" spans="2:8" outlineLevel="1" x14ac:dyDescent="0.2">
      <c r="C56" s="91" t="s">
        <v>161</v>
      </c>
      <c r="D56" s="82">
        <v>0</v>
      </c>
      <c r="E56" s="93">
        <v>1</v>
      </c>
      <c r="F56" s="83">
        <f t="shared" si="0"/>
        <v>0</v>
      </c>
      <c r="G56" s="83">
        <f t="shared" si="1"/>
        <v>0</v>
      </c>
    </row>
    <row r="57" spans="2:8" outlineLevel="1" x14ac:dyDescent="0.2">
      <c r="C57" s="91" t="s">
        <v>200</v>
      </c>
      <c r="D57" s="82">
        <v>0.3</v>
      </c>
      <c r="E57" s="93">
        <v>1</v>
      </c>
      <c r="F57" s="83">
        <f t="shared" si="0"/>
        <v>0.3</v>
      </c>
      <c r="G57" s="83">
        <f t="shared" si="1"/>
        <v>0.24793388429752067</v>
      </c>
    </row>
    <row r="58" spans="2:8" outlineLevel="1" x14ac:dyDescent="0.2">
      <c r="C58" s="91" t="s">
        <v>156</v>
      </c>
      <c r="D58" s="82">
        <v>10</v>
      </c>
      <c r="E58" s="93">
        <v>1</v>
      </c>
      <c r="F58" s="83">
        <f t="shared" si="0"/>
        <v>10</v>
      </c>
      <c r="G58" s="83">
        <f t="shared" si="1"/>
        <v>8.2644628099173563</v>
      </c>
    </row>
    <row r="59" spans="2:8" outlineLevel="1" x14ac:dyDescent="0.2">
      <c r="C59" s="91" t="s">
        <v>167</v>
      </c>
      <c r="D59" s="82">
        <v>0</v>
      </c>
      <c r="E59" s="93">
        <v>1</v>
      </c>
      <c r="F59" s="83">
        <f t="shared" si="0"/>
        <v>0</v>
      </c>
      <c r="G59" s="83">
        <f t="shared" si="1"/>
        <v>0</v>
      </c>
    </row>
    <row r="60" spans="2:8" outlineLevel="1" x14ac:dyDescent="0.2">
      <c r="C60" s="78" t="s">
        <v>173</v>
      </c>
      <c r="D60" s="85">
        <v>13.3</v>
      </c>
      <c r="E60" s="93">
        <v>1</v>
      </c>
      <c r="F60" s="83">
        <f t="shared" si="0"/>
        <v>13.3</v>
      </c>
      <c r="G60" s="83">
        <f t="shared" si="1"/>
        <v>10.991735537190083</v>
      </c>
    </row>
    <row r="61" spans="2:8" outlineLevel="1" x14ac:dyDescent="0.2">
      <c r="C61" s="78" t="s">
        <v>174</v>
      </c>
      <c r="D61" s="85">
        <v>20.5</v>
      </c>
      <c r="E61" s="93">
        <v>1</v>
      </c>
      <c r="F61" s="83">
        <f t="shared" si="0"/>
        <v>20.5</v>
      </c>
      <c r="G61" s="83">
        <f t="shared" si="1"/>
        <v>16.942148760330578</v>
      </c>
    </row>
    <row r="62" spans="2:8" ht="12.75" outlineLevel="1" thickBot="1" x14ac:dyDescent="0.25">
      <c r="C62" s="78" t="s">
        <v>175</v>
      </c>
      <c r="D62" s="85">
        <v>12.5</v>
      </c>
      <c r="E62" s="93">
        <v>1</v>
      </c>
      <c r="F62" s="83">
        <f t="shared" si="0"/>
        <v>12.5</v>
      </c>
      <c r="G62" s="83">
        <f t="shared" si="1"/>
        <v>10.330578512396695</v>
      </c>
    </row>
    <row r="63" spans="2:8" x14ac:dyDescent="0.2">
      <c r="C63" s="89"/>
      <c r="D63" s="89"/>
      <c r="E63" s="89"/>
      <c r="G63" s="89"/>
    </row>
    <row r="64" spans="2:8" ht="18" x14ac:dyDescent="0.2">
      <c r="B64" s="7" t="s">
        <v>205</v>
      </c>
      <c r="D64" s="42" t="s">
        <v>191</v>
      </c>
      <c r="H64" s="94">
        <v>2</v>
      </c>
    </row>
    <row r="65" spans="2:8" ht="24" x14ac:dyDescent="0.2">
      <c r="C65" s="59"/>
      <c r="D65" s="1" t="s">
        <v>217</v>
      </c>
      <c r="E65" s="1" t="s">
        <v>218</v>
      </c>
      <c r="F65" s="1" t="s">
        <v>219</v>
      </c>
      <c r="G65" s="42"/>
      <c r="H65" s="1" t="str">
        <f>INDEX(liste.minus,$H$64)</f>
        <v>After transition period</v>
      </c>
    </row>
    <row r="66" spans="2:8" x14ac:dyDescent="0.2">
      <c r="C66" s="97" t="s">
        <v>128</v>
      </c>
      <c r="D66" s="81">
        <v>0.23</v>
      </c>
      <c r="E66" s="99">
        <v>0.20746012867239169</v>
      </c>
      <c r="F66" s="99">
        <v>0.28219471864246592</v>
      </c>
      <c r="H66" s="113">
        <f>INDEX($D66:$F66,$H$64)</f>
        <v>0.20746012867239169</v>
      </c>
    </row>
    <row r="67" spans="2:8" x14ac:dyDescent="0.2">
      <c r="C67" s="97" t="s">
        <v>188</v>
      </c>
      <c r="D67" s="81">
        <v>0.23</v>
      </c>
      <c r="E67" s="99">
        <v>0.22871079615870746</v>
      </c>
      <c r="F67" s="99">
        <v>0.34861164288336011</v>
      </c>
      <c r="H67" s="113">
        <f>INDEX($D67:$F67,$H$64)</f>
        <v>0.22871079615870746</v>
      </c>
    </row>
    <row r="68" spans="2:8" x14ac:dyDescent="0.2">
      <c r="C68" s="97" t="s">
        <v>189</v>
      </c>
      <c r="D68" s="81">
        <f>D67</f>
        <v>0.23</v>
      </c>
      <c r="E68" s="99">
        <v>0.28325393805984955</v>
      </c>
      <c r="F68" s="99">
        <v>0.3975046789402934</v>
      </c>
      <c r="H68" s="113">
        <f>INDEX($D68:$F68,$H$64)</f>
        <v>0.28325393805984955</v>
      </c>
    </row>
    <row r="69" spans="2:8" x14ac:dyDescent="0.2">
      <c r="C69" s="98" t="s">
        <v>127</v>
      </c>
      <c r="D69" s="81">
        <v>0.2</v>
      </c>
      <c r="E69" s="99">
        <v>0.21549535467870184</v>
      </c>
      <c r="F69" s="99">
        <v>0.27372243954251868</v>
      </c>
      <c r="H69" s="113">
        <f>INDEX($D69:$F69,$H$64)</f>
        <v>0.21549535467870184</v>
      </c>
    </row>
    <row r="70" spans="2:8" x14ac:dyDescent="0.2">
      <c r="H70" s="42" t="s">
        <v>192</v>
      </c>
    </row>
    <row r="71" spans="2:8" x14ac:dyDescent="0.2">
      <c r="H71" s="42"/>
    </row>
    <row r="72" spans="2:8" ht="18" x14ac:dyDescent="0.2">
      <c r="B72" s="7" t="s">
        <v>206</v>
      </c>
      <c r="D72" s="42" t="s">
        <v>209</v>
      </c>
    </row>
    <row r="73" spans="2:8" ht="24" x14ac:dyDescent="0.2">
      <c r="C73" s="59"/>
      <c r="D73" s="1" t="s">
        <v>217</v>
      </c>
      <c r="E73" s="1" t="str">
        <f t="shared" ref="E73:F73" si="16">E$65</f>
        <v>After transition period</v>
      </c>
      <c r="F73" s="1" t="str">
        <f t="shared" si="16"/>
        <v>During transition period</v>
      </c>
      <c r="G73" s="42"/>
      <c r="H73" s="1" t="str">
        <f>INDEX(liste.minus,$H$64)</f>
        <v>After transition period</v>
      </c>
    </row>
    <row r="74" spans="2:8" x14ac:dyDescent="0.2">
      <c r="C74" s="97" t="s">
        <v>128</v>
      </c>
      <c r="D74" s="81">
        <v>0.3</v>
      </c>
      <c r="E74" s="121">
        <v>0.25073783648604414</v>
      </c>
      <c r="F74" s="121">
        <v>0.36820176061761051</v>
      </c>
      <c r="H74" s="113">
        <f>INDEX($D74:$F74,$H$64)</f>
        <v>0.25073783648604414</v>
      </c>
    </row>
    <row r="75" spans="2:8" x14ac:dyDescent="0.2">
      <c r="C75" s="97" t="s">
        <v>188</v>
      </c>
      <c r="D75" s="81">
        <v>0.3</v>
      </c>
      <c r="E75" s="121">
        <v>0.30666089799678709</v>
      </c>
      <c r="F75" s="121">
        <v>0.44100101954240067</v>
      </c>
      <c r="H75" s="113">
        <f>INDEX($D75:$F75,$H$64)</f>
        <v>0.30666089799678709</v>
      </c>
    </row>
    <row r="76" spans="2:8" x14ac:dyDescent="0.2">
      <c r="C76" s="97" t="s">
        <v>189</v>
      </c>
      <c r="D76" s="81">
        <f>D75</f>
        <v>0.3</v>
      </c>
      <c r="E76" s="121">
        <v>0.29926077393716671</v>
      </c>
      <c r="F76" s="121">
        <v>0.4336008954827803</v>
      </c>
      <c r="H76" s="113">
        <f>INDEX($D76:$F76,$H$64)</f>
        <v>0.29926077393716671</v>
      </c>
    </row>
    <row r="77" spans="2:8" x14ac:dyDescent="0.2">
      <c r="C77" s="98" t="s">
        <v>127</v>
      </c>
      <c r="D77" s="81">
        <v>0.2</v>
      </c>
      <c r="E77" s="121">
        <v>6.6064149280802148E-2</v>
      </c>
      <c r="F77" s="121">
        <v>0.20040427082641571</v>
      </c>
      <c r="H77" s="113">
        <f>INDEX($D77:$F77,$H$64)</f>
        <v>6.6064149280802148E-2</v>
      </c>
    </row>
    <row r="78" spans="2:8" x14ac:dyDescent="0.2">
      <c r="H78" s="42" t="s">
        <v>210</v>
      </c>
    </row>
    <row r="79" spans="2:8" x14ac:dyDescent="0.2">
      <c r="E79" s="104"/>
      <c r="H79" s="42"/>
    </row>
    <row r="80" spans="2:8" ht="18" x14ac:dyDescent="0.2">
      <c r="B80" s="7" t="s">
        <v>207</v>
      </c>
      <c r="D80" s="42" t="s">
        <v>208</v>
      </c>
    </row>
    <row r="81" spans="3:11" ht="24" x14ac:dyDescent="0.2">
      <c r="C81" s="59"/>
      <c r="D81" s="1" t="s">
        <v>217</v>
      </c>
      <c r="E81" s="1" t="str">
        <f t="shared" ref="E81:F81" si="17">E$65</f>
        <v>After transition period</v>
      </c>
      <c r="F81" s="1" t="str">
        <f t="shared" si="17"/>
        <v>During transition period</v>
      </c>
      <c r="G81" s="42"/>
      <c r="H81" s="1" t="str">
        <f>INDEX(liste.minus,$H$64)</f>
        <v>After transition period</v>
      </c>
    </row>
    <row r="82" spans="3:11" x14ac:dyDescent="0.2">
      <c r="C82" s="97" t="s">
        <v>128</v>
      </c>
      <c r="D82" s="81">
        <v>0.3</v>
      </c>
      <c r="E82" s="99">
        <v>0.26811293755494847</v>
      </c>
      <c r="F82" s="99">
        <v>0.37155946518119259</v>
      </c>
      <c r="H82" s="113">
        <f>INDEX($D82:$F82,$H$64)</f>
        <v>0.26811293755494847</v>
      </c>
    </row>
    <row r="83" spans="3:11" x14ac:dyDescent="0.2">
      <c r="C83" s="97" t="s">
        <v>188</v>
      </c>
      <c r="D83" s="81">
        <v>0.3</v>
      </c>
      <c r="E83" s="99">
        <v>0.34640624684907872</v>
      </c>
      <c r="F83" s="99">
        <v>0.4492978555917338</v>
      </c>
      <c r="H83" s="113">
        <f>INDEX($D83:$F83,$H$64)</f>
        <v>0.34640624684907872</v>
      </c>
    </row>
    <row r="84" spans="3:11" x14ac:dyDescent="0.2">
      <c r="C84" s="97" t="s">
        <v>189</v>
      </c>
      <c r="D84" s="81">
        <f>D83</f>
        <v>0.3</v>
      </c>
      <c r="E84" s="99">
        <v>0.33614359243042397</v>
      </c>
      <c r="F84" s="99">
        <v>0.44130017804006655</v>
      </c>
      <c r="H84" s="113">
        <f>INDEX($D84:$F84,$H$64)</f>
        <v>0.33614359243042397</v>
      </c>
    </row>
    <row r="85" spans="3:11" x14ac:dyDescent="0.2">
      <c r="C85" s="98" t="s">
        <v>127</v>
      </c>
      <c r="D85" s="81">
        <v>0.2</v>
      </c>
      <c r="E85" s="99">
        <v>0.23704881378309131</v>
      </c>
      <c r="F85" s="99">
        <v>0.24453751030936244</v>
      </c>
      <c r="H85" s="113">
        <f>INDEX($D85:$F85,$H$64)</f>
        <v>0.23704881378309131</v>
      </c>
    </row>
    <row r="86" spans="3:11" x14ac:dyDescent="0.2">
      <c r="H86" s="42" t="s">
        <v>211</v>
      </c>
    </row>
    <row r="87" spans="3:11" x14ac:dyDescent="0.2">
      <c r="I87" s="42"/>
    </row>
    <row r="88" spans="3:11" x14ac:dyDescent="0.2">
      <c r="K88" s="42"/>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0"/>
  <sheetViews>
    <sheetView showGridLines="0" defaultGridColor="0" colorId="22" zoomScaleNormal="100" workbookViewId="0">
      <pane xSplit="4" ySplit="4" topLeftCell="E5" activePane="bottomRight" state="frozen"/>
      <selection pane="topRight" activeCell="E1" sqref="E1"/>
      <selection pane="bottomLeft" activeCell="A5" sqref="A5"/>
      <selection pane="bottomRight" activeCell="C10" sqref="C10"/>
    </sheetView>
  </sheetViews>
  <sheetFormatPr baseColWidth="10" defaultColWidth="12.7109375" defaultRowHeight="12" outlineLevelRow="1" x14ac:dyDescent="0.2"/>
  <cols>
    <col min="1" max="1" width="6.7109375" style="41" customWidth="1"/>
    <col min="2" max="2" width="12.7109375" style="41" customWidth="1"/>
    <col min="3" max="3" width="52" style="41" customWidth="1"/>
    <col min="4" max="4" width="0.85546875" style="41" customWidth="1"/>
    <col min="5" max="5" width="18.140625" style="41" customWidth="1"/>
    <col min="6" max="6" width="0.85546875" style="41" customWidth="1"/>
    <col min="7" max="7" width="18.140625" style="41" customWidth="1"/>
    <col min="8" max="8" width="0.85546875" style="41" customWidth="1"/>
    <col min="9" max="9" width="18.140625" style="41" customWidth="1"/>
    <col min="10" max="10" width="0.85546875" style="41" customWidth="1"/>
    <col min="11" max="11" width="18.140625" style="41" customWidth="1"/>
    <col min="12" max="16384" width="12.7109375" style="41"/>
  </cols>
  <sheetData>
    <row r="1" spans="1:11" s="67" customFormat="1" ht="33.75" customHeight="1" x14ac:dyDescent="0.2">
      <c r="A1" s="67" t="s">
        <v>99</v>
      </c>
      <c r="C1" s="74" t="s">
        <v>221</v>
      </c>
    </row>
    <row r="3" spans="1:11" x14ac:dyDescent="0.2">
      <c r="E3" s="119" t="s">
        <v>128</v>
      </c>
      <c r="G3" s="118" t="s">
        <v>188</v>
      </c>
      <c r="I3" s="120" t="s">
        <v>189</v>
      </c>
      <c r="K3" s="117" t="s">
        <v>127</v>
      </c>
    </row>
    <row r="4" spans="1:11" x14ac:dyDescent="0.2">
      <c r="C4" s="41" t="s">
        <v>240</v>
      </c>
      <c r="E4" s="122" t="s">
        <v>241</v>
      </c>
      <c r="F4" s="66"/>
      <c r="G4" s="122" t="s">
        <v>241</v>
      </c>
      <c r="H4" s="66"/>
      <c r="I4" s="122" t="s">
        <v>241</v>
      </c>
      <c r="J4" s="66"/>
      <c r="K4" s="122" t="s">
        <v>241</v>
      </c>
    </row>
    <row r="6" spans="1:11" outlineLevel="1" x14ac:dyDescent="0.2">
      <c r="C6" s="59" t="s">
        <v>223</v>
      </c>
      <c r="D6" s="59"/>
      <c r="E6" s="59"/>
      <c r="G6" s="59"/>
      <c r="I6" s="59"/>
      <c r="K6" s="59"/>
    </row>
    <row r="7" spans="1:11" outlineLevel="1" x14ac:dyDescent="0.2"/>
    <row r="8" spans="1:11" outlineLevel="1" x14ac:dyDescent="0.2">
      <c r="C8" s="41" t="s">
        <v>286</v>
      </c>
      <c r="E8" s="94" t="s">
        <v>151</v>
      </c>
      <c r="G8" s="94" t="s">
        <v>152</v>
      </c>
      <c r="I8" s="94" t="s">
        <v>152</v>
      </c>
      <c r="K8" s="94" t="s">
        <v>150</v>
      </c>
    </row>
    <row r="9" spans="1:11" outlineLevel="1" x14ac:dyDescent="0.2">
      <c r="C9" s="95" t="s">
        <v>286</v>
      </c>
      <c r="E9" s="15">
        <f>INDEX('Values and minus percentages'!$G$6:$G$62,MATCH('Wholesale tariffs - analog TV'!E8,'Values and minus percentages'!$C$6:$C$62,0))</f>
        <v>9.9173553719008272</v>
      </c>
      <c r="G9" s="15">
        <f>INDEX('Values and minus percentages'!$G$6:$G$62,MATCH('Wholesale tariffs - analog TV'!G8,'Values and minus percentages'!$C$6:$C$62,0))</f>
        <v>11.181818181818182</v>
      </c>
      <c r="I9" s="15">
        <f>INDEX('Values and minus percentages'!$G$6:$G$62,MATCH('Wholesale tariffs - analog TV'!I8,'Values and minus percentages'!$C$6:$C$62,0))</f>
        <v>11.181818181818182</v>
      </c>
      <c r="K9" s="15">
        <f>INDEX('Values and minus percentages'!$G$6:$G$62,MATCH('Wholesale tariffs - analog TV'!K8,'Values and minus percentages'!$C$6:$C$62,0))</f>
        <v>15.53719008264463</v>
      </c>
    </row>
    <row r="10" spans="1:11" outlineLevel="1" x14ac:dyDescent="0.2">
      <c r="C10" s="78" t="s">
        <v>212</v>
      </c>
      <c r="E10" s="83">
        <f>SUM(E9:E9)</f>
        <v>9.9173553719008272</v>
      </c>
      <c r="G10" s="83">
        <f>SUM(G9:G9)</f>
        <v>11.181818181818182</v>
      </c>
      <c r="I10" s="83">
        <f>SUM(I9:I9)</f>
        <v>11.181818181818182</v>
      </c>
      <c r="K10" s="83">
        <f>SUM(K9:K9)</f>
        <v>15.53719008264463</v>
      </c>
    </row>
    <row r="11" spans="1:11" outlineLevel="1" x14ac:dyDescent="0.2"/>
    <row r="12" spans="1:11" x14ac:dyDescent="0.2">
      <c r="C12" s="59" t="s">
        <v>242</v>
      </c>
      <c r="D12" s="59"/>
      <c r="E12" s="59"/>
      <c r="G12" s="59"/>
      <c r="I12" s="59"/>
      <c r="K12" s="59"/>
    </row>
    <row r="13" spans="1:11" x14ac:dyDescent="0.2">
      <c r="G13" s="15"/>
      <c r="I13" s="15"/>
      <c r="K13" s="15"/>
    </row>
    <row r="14" spans="1:11" x14ac:dyDescent="0.2">
      <c r="C14" s="78" t="s">
        <v>225</v>
      </c>
      <c r="E14" s="102">
        <f>E10</f>
        <v>9.9173553719008272</v>
      </c>
      <c r="G14" s="102">
        <f t="shared" ref="G14:K14" si="0">G10</f>
        <v>11.181818181818182</v>
      </c>
      <c r="I14" s="102">
        <f t="shared" si="0"/>
        <v>11.181818181818182</v>
      </c>
      <c r="K14" s="102">
        <f t="shared" si="0"/>
        <v>15.53719008264463</v>
      </c>
    </row>
    <row r="15" spans="1:11" x14ac:dyDescent="0.2">
      <c r="C15" s="95" t="s">
        <v>226</v>
      </c>
      <c r="E15" s="85">
        <v>9.9173553719008272</v>
      </c>
      <c r="G15" s="85">
        <v>11.18611570247934</v>
      </c>
      <c r="I15" s="85">
        <v>11.18611570247934</v>
      </c>
      <c r="K15" s="85">
        <v>12.239669421487603</v>
      </c>
    </row>
    <row r="16" spans="1:11" x14ac:dyDescent="0.2">
      <c r="C16" s="95" t="s">
        <v>227</v>
      </c>
      <c r="E16" s="96">
        <f>E14/E15-1</f>
        <v>0</v>
      </c>
      <c r="G16" s="96">
        <f t="shared" ref="G16:K16" si="1">G14/G15-1</f>
        <v>-3.8418346237967249E-4</v>
      </c>
      <c r="I16" s="96">
        <f t="shared" si="1"/>
        <v>-3.8418346237967249E-4</v>
      </c>
      <c r="K16" s="96">
        <f t="shared" si="1"/>
        <v>0.26941255908170159</v>
      </c>
    </row>
    <row r="18" spans="3:11" x14ac:dyDescent="0.2">
      <c r="C18" s="59" t="s">
        <v>233</v>
      </c>
      <c r="D18" s="59"/>
      <c r="E18" s="59"/>
      <c r="G18" s="59"/>
      <c r="I18" s="59"/>
      <c r="K18" s="59"/>
    </row>
    <row r="20" spans="3:11" x14ac:dyDescent="0.2">
      <c r="C20" s="78" t="s">
        <v>234</v>
      </c>
      <c r="E20" s="87">
        <f>INDEX(chosen.minus.TVanalogique,MATCH(E$3,'Values and minus percentages'!$C$66:$C$69,0))</f>
        <v>0.26811293755494847</v>
      </c>
      <c r="G20" s="87">
        <f>INDEX(chosen.minus.TVanalogique,MATCH(G$3,'Values and minus percentages'!$C$66:$C$69,0))</f>
        <v>0.34640624684907872</v>
      </c>
      <c r="I20" s="87">
        <f>INDEX(chosen.minus.TVanalogique,MATCH(I$3,'Values and minus percentages'!$C$66:$C$69,0))</f>
        <v>0.33614359243042397</v>
      </c>
      <c r="K20" s="87">
        <f>INDEX(chosen.minus.TVanalogique,MATCH(K$3,'Values and minus percentages'!$C$66:$C$69,0))</f>
        <v>0.23704881378309131</v>
      </c>
    </row>
    <row r="21" spans="3:11" x14ac:dyDescent="0.2">
      <c r="C21" s="95" t="s">
        <v>235</v>
      </c>
      <c r="E21" s="93">
        <f>INDEX('Values and minus percentages'!$D$74:$D$77,MATCH(E$3,'Values and minus percentages'!$C$74:$C$77,0))</f>
        <v>0.3</v>
      </c>
      <c r="G21" s="93">
        <f>INDEX('Values and minus percentages'!$D$74:$D$77,MATCH(G$3,'Values and minus percentages'!$C$74:$C$77,0))</f>
        <v>0.3</v>
      </c>
      <c r="I21" s="93">
        <f>INDEX('Values and minus percentages'!$D$74:$D$77,MATCH(I$3,'Values and minus percentages'!$C$74:$C$77,0))</f>
        <v>0.3</v>
      </c>
      <c r="K21" s="93">
        <f>INDEX('Values and minus percentages'!$D$74:$D$77,MATCH(K$3,'Values and minus percentages'!$C$74:$C$77,0))</f>
        <v>0.2</v>
      </c>
    </row>
    <row r="23" spans="3:11" x14ac:dyDescent="0.2">
      <c r="C23" s="78" t="s">
        <v>236</v>
      </c>
      <c r="E23" s="101">
        <f>E14*(1-E20)</f>
        <v>7.2583840903641477</v>
      </c>
      <c r="G23" s="101">
        <f>G14*(1-G20)</f>
        <v>7.3083665125057555</v>
      </c>
      <c r="I23" s="101">
        <f>I14*(1-I20)</f>
        <v>7.4231216482779869</v>
      </c>
      <c r="K23" s="101">
        <f>K14*(1-K20)</f>
        <v>11.854117604031311</v>
      </c>
    </row>
    <row r="24" spans="3:11" x14ac:dyDescent="0.2">
      <c r="C24" s="95" t="s">
        <v>237</v>
      </c>
      <c r="E24" s="85">
        <v>6.9421487603305785</v>
      </c>
      <c r="G24" s="85">
        <v>7.8302809917355374</v>
      </c>
      <c r="I24" s="85">
        <v>7.8302809917355374</v>
      </c>
      <c r="K24" s="85">
        <v>9.7917355371900836</v>
      </c>
    </row>
    <row r="25" spans="3:11" x14ac:dyDescent="0.2">
      <c r="C25" s="95" t="s">
        <v>238</v>
      </c>
      <c r="E25" s="15">
        <f>E23-E24</f>
        <v>0.31623533003356918</v>
      </c>
      <c r="G25" s="15">
        <f t="shared" ref="G25" si="2">G23-G24</f>
        <v>-0.52191447922978185</v>
      </c>
      <c r="I25" s="15">
        <f t="shared" ref="I25" si="3">I23-I24</f>
        <v>-0.40715934345755045</v>
      </c>
      <c r="K25" s="15">
        <f>K23-K24</f>
        <v>2.0623820668412272</v>
      </c>
    </row>
    <row r="26" spans="3:11" x14ac:dyDescent="0.2">
      <c r="C26" s="95" t="s">
        <v>227</v>
      </c>
      <c r="E26" s="75">
        <f>E23/E24-1</f>
        <v>4.5552946350073675E-2</v>
      </c>
      <c r="G26" s="75">
        <f t="shared" ref="G26" si="4">G23/G24-1</f>
        <v>-6.6653352514505659E-2</v>
      </c>
      <c r="I26" s="75">
        <f t="shared" ref="I26" si="5">I23/I24-1</f>
        <v>-5.1998050119438366E-2</v>
      </c>
      <c r="K26" s="75">
        <f>K23/K24-1</f>
        <v>0.21062477218753251</v>
      </c>
    </row>
    <row r="28" spans="3:11" x14ac:dyDescent="0.2">
      <c r="E28" s="15"/>
      <c r="G28" s="15"/>
      <c r="I28" s="15"/>
      <c r="K28" s="15"/>
    </row>
    <row r="29" spans="3:11" x14ac:dyDescent="0.2">
      <c r="E29" s="15"/>
      <c r="G29" s="15"/>
      <c r="I29" s="15"/>
      <c r="K29" s="15"/>
    </row>
    <row r="30" spans="3:11" x14ac:dyDescent="0.2">
      <c r="E30" s="15"/>
      <c r="G30" s="15"/>
      <c r="I30" s="15"/>
      <c r="K30" s="15"/>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0"/>
  <sheetViews>
    <sheetView showGridLines="0" defaultGridColor="0" colorId="22" zoomScaleNormal="100" workbookViewId="0">
      <pane xSplit="4" ySplit="4" topLeftCell="E5" activePane="bottomRight" state="frozen"/>
      <selection pane="topRight" activeCell="E1" sqref="E1"/>
      <selection pane="bottomLeft" activeCell="A5" sqref="A5"/>
      <selection pane="bottomRight" activeCell="C10" sqref="C10"/>
    </sheetView>
  </sheetViews>
  <sheetFormatPr baseColWidth="10" defaultColWidth="12.7109375" defaultRowHeight="12" outlineLevelRow="1" x14ac:dyDescent="0.2"/>
  <cols>
    <col min="1" max="1" width="6.7109375" style="41" customWidth="1"/>
    <col min="2" max="2" width="12.7109375" style="41" customWidth="1"/>
    <col min="3" max="3" width="48.7109375" style="41" customWidth="1"/>
    <col min="4" max="4" width="0.85546875" style="41" customWidth="1"/>
    <col min="5" max="5" width="19.28515625" style="41" customWidth="1"/>
    <col min="6" max="6" width="0.85546875" style="41" customWidth="1"/>
    <col min="7" max="7" width="19.28515625" style="41" customWidth="1"/>
    <col min="8" max="8" width="0.85546875" style="41" customWidth="1"/>
    <col min="9" max="9" width="19.28515625" style="41" customWidth="1"/>
    <col min="10" max="10" width="0.85546875" style="41" customWidth="1"/>
    <col min="11" max="11" width="19.28515625" style="41" customWidth="1"/>
    <col min="12" max="16384" width="12.7109375" style="41"/>
  </cols>
  <sheetData>
    <row r="1" spans="1:11" s="67" customFormat="1" ht="33.75" customHeight="1" x14ac:dyDescent="0.2">
      <c r="A1" s="67" t="s">
        <v>99</v>
      </c>
      <c r="C1" s="74" t="s">
        <v>222</v>
      </c>
    </row>
    <row r="3" spans="1:11" x14ac:dyDescent="0.2">
      <c r="E3" s="119" t="s">
        <v>128</v>
      </c>
      <c r="G3" s="118" t="s">
        <v>188</v>
      </c>
      <c r="I3" s="120" t="s">
        <v>189</v>
      </c>
      <c r="K3" s="117" t="s">
        <v>127</v>
      </c>
    </row>
    <row r="4" spans="1:11" x14ac:dyDescent="0.2">
      <c r="C4" s="41" t="s">
        <v>240</v>
      </c>
      <c r="E4" s="122" t="s">
        <v>239</v>
      </c>
      <c r="F4" s="66"/>
      <c r="G4" s="122" t="s">
        <v>239</v>
      </c>
      <c r="H4" s="66"/>
      <c r="I4" s="122" t="s">
        <v>239</v>
      </c>
      <c r="J4" s="66"/>
      <c r="K4" s="122" t="s">
        <v>239</v>
      </c>
    </row>
    <row r="6" spans="1:11" outlineLevel="1" x14ac:dyDescent="0.2">
      <c r="C6" s="59" t="s">
        <v>223</v>
      </c>
      <c r="D6" s="59"/>
      <c r="E6" s="59"/>
      <c r="G6" s="59"/>
      <c r="I6" s="59"/>
      <c r="K6" s="59"/>
    </row>
    <row r="7" spans="1:11" outlineLevel="1" x14ac:dyDescent="0.2"/>
    <row r="8" spans="1:11" outlineLevel="1" x14ac:dyDescent="0.2">
      <c r="C8" s="41" t="s">
        <v>286</v>
      </c>
      <c r="E8" s="94" t="s">
        <v>151</v>
      </c>
      <c r="G8" s="94" t="s">
        <v>152</v>
      </c>
      <c r="I8" s="94" t="s">
        <v>152</v>
      </c>
      <c r="K8" s="94" t="s">
        <v>150</v>
      </c>
    </row>
    <row r="9" spans="1:11" outlineLevel="1" x14ac:dyDescent="0.2">
      <c r="C9" s="95" t="s">
        <v>286</v>
      </c>
      <c r="E9" s="15">
        <f>INDEX('Values and minus percentages'!$G$6:$G$62,MATCH('Wholesal tariffs - digital TV'!E8,'Values and minus percentages'!$C$6:$C$62,0))</f>
        <v>9.9173553719008272</v>
      </c>
      <c r="G9" s="15">
        <f>INDEX('Values and minus percentages'!$G$6:$G$62,MATCH('Wholesal tariffs - digital TV'!G8,'Values and minus percentages'!$C$6:$C$62,0))</f>
        <v>11.181818181818182</v>
      </c>
      <c r="I9" s="15">
        <f>INDEX('Values and minus percentages'!$G$6:$G$62,MATCH('Wholesal tariffs - digital TV'!I8,'Values and minus percentages'!$C$6:$C$62,0))</f>
        <v>11.181818181818182</v>
      </c>
      <c r="K9" s="15">
        <f>INDEX('Values and minus percentages'!$G$6:$G$62,MATCH('Wholesal tariffs - digital TV'!K8,'Values and minus percentages'!$C$6:$C$62,0))</f>
        <v>15.53719008264463</v>
      </c>
    </row>
    <row r="10" spans="1:11" outlineLevel="1" x14ac:dyDescent="0.2">
      <c r="C10" s="78" t="s">
        <v>212</v>
      </c>
      <c r="E10" s="83">
        <f>SUM(E9:E9)</f>
        <v>9.9173553719008272</v>
      </c>
      <c r="G10" s="83">
        <f>SUM(G9:G9)</f>
        <v>11.181818181818182</v>
      </c>
      <c r="I10" s="83">
        <f>SUM(I9:I9)</f>
        <v>11.181818181818182</v>
      </c>
      <c r="K10" s="83">
        <f>SUM(K9:K9)</f>
        <v>15.53719008264463</v>
      </c>
    </row>
    <row r="11" spans="1:11" outlineLevel="1" x14ac:dyDescent="0.2"/>
    <row r="12" spans="1:11" ht="24" x14ac:dyDescent="0.2">
      <c r="C12" s="59" t="s">
        <v>224</v>
      </c>
      <c r="D12" s="59"/>
      <c r="E12" s="59"/>
      <c r="G12" s="59"/>
      <c r="I12" s="59"/>
      <c r="K12" s="59"/>
    </row>
    <row r="13" spans="1:11" x14ac:dyDescent="0.2">
      <c r="G13" s="15"/>
      <c r="I13" s="15"/>
      <c r="K13" s="15"/>
    </row>
    <row r="14" spans="1:11" x14ac:dyDescent="0.2">
      <c r="C14" s="78" t="s">
        <v>225</v>
      </c>
      <c r="E14" s="102">
        <f>E10</f>
        <v>9.9173553719008272</v>
      </c>
      <c r="G14" s="102">
        <f t="shared" ref="G14:K14" si="0">G10</f>
        <v>11.181818181818182</v>
      </c>
      <c r="I14" s="102">
        <f t="shared" si="0"/>
        <v>11.181818181818182</v>
      </c>
      <c r="K14" s="102">
        <f t="shared" si="0"/>
        <v>15.53719008264463</v>
      </c>
    </row>
    <row r="15" spans="1:11" x14ac:dyDescent="0.2">
      <c r="C15" s="95" t="s">
        <v>226</v>
      </c>
      <c r="E15" s="85">
        <v>17.107438016528928</v>
      </c>
      <c r="G15" s="85">
        <v>17.343140495867768</v>
      </c>
      <c r="I15" s="85">
        <v>17.343140495867768</v>
      </c>
      <c r="K15" s="85">
        <v>28.231818181818181</v>
      </c>
    </row>
    <row r="16" spans="1:11" x14ac:dyDescent="0.2">
      <c r="C16" s="95" t="s">
        <v>227</v>
      </c>
      <c r="E16" s="96">
        <f>E14/E15-1</f>
        <v>-0.42028985507246375</v>
      </c>
      <c r="G16" s="96">
        <f t="shared" ref="G16:K16" si="1">G14/G15-1</f>
        <v>-0.3552598974515373</v>
      </c>
      <c r="I16" s="96">
        <f t="shared" si="1"/>
        <v>-0.3552598974515373</v>
      </c>
      <c r="K16" s="96">
        <f t="shared" si="1"/>
        <v>-0.44965676731897941</v>
      </c>
    </row>
    <row r="17" spans="3:11" outlineLevel="1" x14ac:dyDescent="0.2"/>
    <row r="18" spans="3:11" outlineLevel="1" x14ac:dyDescent="0.2">
      <c r="C18" s="78" t="s">
        <v>228</v>
      </c>
    </row>
    <row r="19" spans="3:11" outlineLevel="1" x14ac:dyDescent="0.2">
      <c r="C19" s="112" t="s">
        <v>226</v>
      </c>
      <c r="E19" s="102">
        <f>E15</f>
        <v>17.107438016528928</v>
      </c>
      <c r="G19" s="102">
        <f>G15</f>
        <v>17.343140495867768</v>
      </c>
      <c r="I19" s="102">
        <f>I15</f>
        <v>17.343140495867768</v>
      </c>
      <c r="K19" s="102">
        <f>K15</f>
        <v>28.231818181818181</v>
      </c>
    </row>
    <row r="20" spans="3:11" outlineLevel="1" x14ac:dyDescent="0.2">
      <c r="C20" s="112" t="s">
        <v>229</v>
      </c>
      <c r="E20" s="15">
        <f>-E25</f>
        <v>-7.1900826446280988</v>
      </c>
      <c r="G20" s="15">
        <f t="shared" ref="G20:K20" si="2">-G25</f>
        <v>-6.1570247933884303</v>
      </c>
      <c r="I20" s="15">
        <f t="shared" si="2"/>
        <v>-6.1570247933884303</v>
      </c>
      <c r="K20" s="15">
        <f t="shared" si="2"/>
        <v>-8.2644628099173563</v>
      </c>
    </row>
    <row r="21" spans="3:11" outlineLevel="1" x14ac:dyDescent="0.2">
      <c r="C21" s="112" t="s">
        <v>230</v>
      </c>
      <c r="E21" s="15">
        <f t="shared" ref="E21:I21" si="3">-(E19+E20-E22)</f>
        <v>-1.7763568394002505E-15</v>
      </c>
      <c r="G21" s="15">
        <f t="shared" si="3"/>
        <v>-4.2975206611561845E-3</v>
      </c>
      <c r="I21" s="15">
        <f t="shared" si="3"/>
        <v>-4.2975206611561845E-3</v>
      </c>
      <c r="K21" s="15">
        <f>-(K19+K20-K22)</f>
        <v>-4.4301652892561929</v>
      </c>
    </row>
    <row r="22" spans="3:11" outlineLevel="1" x14ac:dyDescent="0.2">
      <c r="C22" s="112" t="s">
        <v>231</v>
      </c>
      <c r="E22" s="102">
        <f>E14</f>
        <v>9.9173553719008272</v>
      </c>
      <c r="G22" s="102">
        <f t="shared" ref="G22:K22" si="4">G14</f>
        <v>11.181818181818182</v>
      </c>
      <c r="I22" s="102">
        <f t="shared" si="4"/>
        <v>11.181818181818182</v>
      </c>
      <c r="K22" s="102">
        <f t="shared" si="4"/>
        <v>15.53719008264463</v>
      </c>
    </row>
    <row r="23" spans="3:11" outlineLevel="1" x14ac:dyDescent="0.2"/>
    <row r="24" spans="3:11" outlineLevel="1" x14ac:dyDescent="0.2">
      <c r="C24" s="41" t="s">
        <v>229</v>
      </c>
      <c r="E24" s="94" t="s">
        <v>154</v>
      </c>
      <c r="G24" s="94" t="s">
        <v>155</v>
      </c>
      <c r="I24" s="94" t="s">
        <v>155</v>
      </c>
      <c r="K24" s="94" t="s">
        <v>156</v>
      </c>
    </row>
    <row r="25" spans="3:11" outlineLevel="1" x14ac:dyDescent="0.2">
      <c r="C25" s="95" t="s">
        <v>232</v>
      </c>
      <c r="E25" s="15">
        <f>INDEX('Values and minus percentages'!$G$6:$G$62,MATCH('Wholesal tariffs - digital TV'!E24,'Values and minus percentages'!$C$6:$C$62,0))</f>
        <v>7.1900826446280988</v>
      </c>
      <c r="G25" s="15">
        <f>INDEX('Values and minus percentages'!$G$6:$G$62,MATCH('Wholesal tariffs - digital TV'!G24,'Values and minus percentages'!$C$6:$C$62,0))</f>
        <v>6.1570247933884303</v>
      </c>
      <c r="I25" s="15">
        <f>INDEX('Values and minus percentages'!$G$6:$G$62,MATCH('Wholesal tariffs - digital TV'!I24,'Values and minus percentages'!$C$6:$C$62,0))</f>
        <v>6.1570247933884303</v>
      </c>
      <c r="K25" s="15">
        <f>INDEX('Values and minus percentages'!$G$6:$G$62,MATCH('Wholesal tariffs - digital TV'!K24,'Values and minus percentages'!$C$6:$C$62,0))</f>
        <v>8.2644628099173563</v>
      </c>
    </row>
    <row r="26" spans="3:11" outlineLevel="1" x14ac:dyDescent="0.2">
      <c r="C26" s="78"/>
    </row>
    <row r="27" spans="3:11" x14ac:dyDescent="0.2">
      <c r="C27" s="78"/>
    </row>
    <row r="28" spans="3:11" x14ac:dyDescent="0.2">
      <c r="C28" s="59" t="s">
        <v>233</v>
      </c>
      <c r="D28" s="59"/>
      <c r="E28" s="59"/>
      <c r="G28" s="59"/>
      <c r="I28" s="59"/>
      <c r="K28" s="59"/>
    </row>
    <row r="30" spans="3:11" x14ac:dyDescent="0.2">
      <c r="C30" s="78" t="s">
        <v>234</v>
      </c>
      <c r="E30" s="87">
        <f>INDEX(chosen.minus.TVnumerique,MATCH(E$3,'Values and minus percentages'!$C$66:$C$69,0))</f>
        <v>0.25073783648604414</v>
      </c>
      <c r="G30" s="87">
        <f>INDEX(chosen.minus.TVnumerique,MATCH(G$3,'Values and minus percentages'!$C$66:$C$69,0))</f>
        <v>0.30666089799678709</v>
      </c>
      <c r="I30" s="87">
        <f>INDEX(chosen.minus.TVnumerique,MATCH(I$3,'Values and minus percentages'!$C$66:$C$69,0))</f>
        <v>0.29926077393716671</v>
      </c>
      <c r="K30" s="87">
        <f>INDEX(chosen.minus.TVnumerique,MATCH(K$3,'Values and minus percentages'!$C$66:$C$69,0))</f>
        <v>6.6064149280802148E-2</v>
      </c>
    </row>
    <row r="31" spans="3:11" x14ac:dyDescent="0.2">
      <c r="C31" s="95" t="s">
        <v>235</v>
      </c>
      <c r="E31" s="93">
        <f>INDEX('Values and minus percentages'!$D$74:$D$77,MATCH(E$3,'Values and minus percentages'!$C$74:$C$77,0))</f>
        <v>0.3</v>
      </c>
      <c r="G31" s="93">
        <f>INDEX('Values and minus percentages'!$D$74:$D$77,MATCH(G$3,'Values and minus percentages'!$C$74:$C$77,0))</f>
        <v>0.3</v>
      </c>
      <c r="I31" s="93">
        <f>INDEX('Values and minus percentages'!$D$74:$D$77,MATCH(I$3,'Values and minus percentages'!$C$74:$C$77,0))</f>
        <v>0.3</v>
      </c>
      <c r="K31" s="93">
        <f>INDEX('Values and minus percentages'!$D$74:$D$77,MATCH(K$3,'Values and minus percentages'!$C$74:$C$77,0))</f>
        <v>0.2</v>
      </c>
    </row>
    <row r="33" spans="3:11" x14ac:dyDescent="0.2">
      <c r="C33" s="78" t="s">
        <v>236</v>
      </c>
      <c r="E33" s="101">
        <f>E14*(1-E30)</f>
        <v>7.4306991422871658</v>
      </c>
      <c r="G33" s="101">
        <f>G14*(1-G30)</f>
        <v>7.752791776945017</v>
      </c>
      <c r="I33" s="101">
        <f>I14*(1-I30)</f>
        <v>7.8355386187025911</v>
      </c>
      <c r="K33" s="101">
        <f>K14*(1-K30)</f>
        <v>14.510738837620595</v>
      </c>
    </row>
    <row r="34" spans="3:11" x14ac:dyDescent="0.2">
      <c r="C34" s="95" t="s">
        <v>237</v>
      </c>
      <c r="E34" s="85">
        <v>11.975206611570249</v>
      </c>
      <c r="G34" s="85">
        <v>12.140198347107438</v>
      </c>
      <c r="I34" s="85">
        <v>12.140198347107438</v>
      </c>
      <c r="K34" s="85">
        <v>22.585454545454546</v>
      </c>
    </row>
    <row r="35" spans="3:11" x14ac:dyDescent="0.2">
      <c r="C35" s="95" t="s">
        <v>238</v>
      </c>
      <c r="E35" s="15">
        <f>E33-E34</f>
        <v>-4.5445074692830829</v>
      </c>
      <c r="G35" s="15">
        <f t="shared" ref="G35" si="5">G33-G34</f>
        <v>-4.3874065701624207</v>
      </c>
      <c r="I35" s="15">
        <f t="shared" ref="I35" si="6">I33-I34</f>
        <v>-4.3046597284048467</v>
      </c>
      <c r="K35" s="15">
        <f>K33-K34</f>
        <v>-8.0747157078339509</v>
      </c>
    </row>
    <row r="36" spans="3:11" x14ac:dyDescent="0.2">
      <c r="C36" s="95" t="s">
        <v>227</v>
      </c>
      <c r="E36" s="75">
        <f>E33/E34-1</f>
        <v>-0.37949303228657905</v>
      </c>
      <c r="G36" s="75">
        <f t="shared" ref="G36" si="7">G33/G34-1</f>
        <v>-0.36139496610512778</v>
      </c>
      <c r="I36" s="75">
        <f t="shared" ref="I36" si="8">I33/I34-1</f>
        <v>-0.35457902789788343</v>
      </c>
      <c r="K36" s="75">
        <f>K33/K34-1</f>
        <v>-0.35751840599812212</v>
      </c>
    </row>
    <row r="38" spans="3:11" x14ac:dyDescent="0.2">
      <c r="E38" s="15"/>
      <c r="G38" s="15"/>
      <c r="I38" s="15"/>
      <c r="K38" s="15"/>
    </row>
    <row r="39" spans="3:11" x14ac:dyDescent="0.2">
      <c r="E39" s="15"/>
      <c r="G39" s="15"/>
      <c r="I39" s="15"/>
      <c r="K39" s="15"/>
    </row>
    <row r="40" spans="3:11" x14ac:dyDescent="0.2">
      <c r="E40" s="15"/>
      <c r="G40" s="15"/>
      <c r="I40" s="15"/>
      <c r="K40" s="15"/>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110"/>
  <sheetViews>
    <sheetView showGridLines="0" tabSelected="1" defaultGridColor="0" colorId="22" zoomScaleNormal="100" workbookViewId="0">
      <pane xSplit="4" ySplit="4" topLeftCell="E5" activePane="bottomRight" state="frozen"/>
      <selection pane="topRight" activeCell="E1" sqref="E1"/>
      <selection pane="bottomLeft" activeCell="A5" sqref="A5"/>
      <selection pane="bottomRight"/>
    </sheetView>
  </sheetViews>
  <sheetFormatPr baseColWidth="10" defaultColWidth="12.7109375" defaultRowHeight="12" outlineLevelRow="1" outlineLevelCol="1" x14ac:dyDescent="0.2"/>
  <cols>
    <col min="1" max="1" width="6.7109375" customWidth="1"/>
    <col min="2" max="2" width="12.7109375" customWidth="1"/>
    <col min="3" max="3" width="51" customWidth="1"/>
    <col min="4" max="4" width="0.85546875" customWidth="1"/>
    <col min="5" max="6" width="29.140625" customWidth="1" outlineLevel="1"/>
    <col min="7" max="7" width="29.5703125" customWidth="1" outlineLevel="1"/>
    <col min="8" max="8" width="3.7109375" style="41" customWidth="1"/>
    <col min="9" max="18" width="29.5703125" customWidth="1" outlineLevel="1"/>
    <col min="19" max="19" width="29.5703125" style="41" customWidth="1"/>
    <col min="20" max="29" width="29.5703125" style="41" customWidth="1" outlineLevel="1"/>
    <col min="30" max="30" width="0.85546875" style="41" customWidth="1"/>
    <col min="31" max="33" width="29.5703125" customWidth="1" outlineLevel="1"/>
  </cols>
  <sheetData>
    <row r="1" spans="1:33" s="67" customFormat="1" ht="33.75" customHeight="1" x14ac:dyDescent="0.2">
      <c r="A1" s="67" t="s">
        <v>99</v>
      </c>
      <c r="C1" s="74" t="s">
        <v>243</v>
      </c>
    </row>
    <row r="3" spans="1:33" s="41" customFormat="1" x14ac:dyDescent="0.2">
      <c r="E3" s="125" t="s">
        <v>128</v>
      </c>
      <c r="F3" s="125"/>
      <c r="G3" s="125"/>
      <c r="I3" s="124" t="s">
        <v>188</v>
      </c>
      <c r="J3" s="124"/>
      <c r="K3" s="124"/>
      <c r="L3" s="124"/>
      <c r="M3" s="124"/>
      <c r="N3" s="124"/>
      <c r="O3" s="124"/>
      <c r="P3" s="124"/>
      <c r="Q3" s="124"/>
      <c r="R3" s="124"/>
      <c r="T3" s="126" t="s">
        <v>189</v>
      </c>
      <c r="U3" s="126"/>
      <c r="V3" s="126"/>
      <c r="W3" s="126"/>
      <c r="X3" s="126"/>
      <c r="Y3" s="126"/>
      <c r="Z3" s="126"/>
      <c r="AA3" s="126"/>
      <c r="AB3" s="126"/>
      <c r="AC3" s="126"/>
      <c r="AE3" s="123" t="s">
        <v>127</v>
      </c>
      <c r="AF3" s="123"/>
      <c r="AG3" s="123"/>
    </row>
    <row r="4" spans="1:33" x14ac:dyDescent="0.2">
      <c r="C4" s="41" t="s">
        <v>240</v>
      </c>
      <c r="D4" s="41"/>
      <c r="E4" s="122" t="s">
        <v>136</v>
      </c>
      <c r="F4" s="122" t="s">
        <v>134</v>
      </c>
      <c r="G4" s="122" t="s">
        <v>135</v>
      </c>
      <c r="H4" s="66"/>
      <c r="I4" s="122" t="s">
        <v>137</v>
      </c>
      <c r="J4" s="122" t="s">
        <v>138</v>
      </c>
      <c r="K4" s="122" t="s">
        <v>139</v>
      </c>
      <c r="L4" s="122" t="s">
        <v>140</v>
      </c>
      <c r="M4" s="122" t="s">
        <v>141</v>
      </c>
      <c r="N4" s="122" t="s">
        <v>142</v>
      </c>
      <c r="O4" s="122" t="s">
        <v>143</v>
      </c>
      <c r="P4" s="122" t="s">
        <v>144</v>
      </c>
      <c r="Q4" s="122" t="s">
        <v>145</v>
      </c>
      <c r="R4" s="122" t="s">
        <v>146</v>
      </c>
      <c r="S4" s="66"/>
      <c r="T4" s="122" t="s">
        <v>137</v>
      </c>
      <c r="U4" s="122" t="s">
        <v>138</v>
      </c>
      <c r="V4" s="122" t="s">
        <v>139</v>
      </c>
      <c r="W4" s="122" t="s">
        <v>140</v>
      </c>
      <c r="X4" s="122" t="s">
        <v>141</v>
      </c>
      <c r="Y4" s="122" t="s">
        <v>142</v>
      </c>
      <c r="Z4" s="122" t="s">
        <v>143</v>
      </c>
      <c r="AA4" s="122" t="s">
        <v>144</v>
      </c>
      <c r="AB4" s="122" t="s">
        <v>145</v>
      </c>
      <c r="AC4" s="122" t="s">
        <v>146</v>
      </c>
      <c r="AD4" s="66"/>
      <c r="AE4" s="122" t="s">
        <v>130</v>
      </c>
      <c r="AF4" s="122" t="s">
        <v>131</v>
      </c>
      <c r="AG4" s="122" t="s">
        <v>132</v>
      </c>
    </row>
    <row r="5" spans="1:33" s="41" customFormat="1" x14ac:dyDescent="0.2"/>
    <row r="6" spans="1:33" s="41" customFormat="1" x14ac:dyDescent="0.2">
      <c r="C6" s="59" t="s">
        <v>265</v>
      </c>
      <c r="D6" s="59"/>
      <c r="E6" s="59"/>
      <c r="F6" s="59"/>
      <c r="G6" s="59"/>
      <c r="I6" s="59"/>
      <c r="J6" s="59"/>
      <c r="K6" s="59"/>
      <c r="L6" s="59"/>
      <c r="M6" s="59"/>
      <c r="N6" s="59"/>
      <c r="O6" s="59"/>
      <c r="P6" s="59"/>
      <c r="Q6" s="59"/>
      <c r="R6" s="59"/>
      <c r="T6" s="59"/>
      <c r="U6" s="59"/>
      <c r="V6" s="59"/>
      <c r="W6" s="59"/>
      <c r="X6" s="59"/>
      <c r="Y6" s="59"/>
      <c r="Z6" s="59"/>
      <c r="AA6" s="59"/>
      <c r="AB6" s="59"/>
      <c r="AC6" s="59"/>
      <c r="AE6" s="59"/>
      <c r="AF6" s="59"/>
      <c r="AG6" s="59"/>
    </row>
    <row r="7" spans="1:33" s="41" customFormat="1" outlineLevel="1" x14ac:dyDescent="0.2"/>
    <row r="8" spans="1:33" s="41" customFormat="1" outlineLevel="1" x14ac:dyDescent="0.2">
      <c r="C8" s="41" t="s">
        <v>244</v>
      </c>
      <c r="E8" s="94" t="s">
        <v>151</v>
      </c>
      <c r="F8" s="94" t="s">
        <v>151</v>
      </c>
      <c r="G8" s="94" t="s">
        <v>151</v>
      </c>
      <c r="I8" s="94" t="s">
        <v>152</v>
      </c>
      <c r="J8" s="94" t="s">
        <v>152</v>
      </c>
      <c r="K8" s="94" t="s">
        <v>152</v>
      </c>
      <c r="L8" s="94" t="s">
        <v>152</v>
      </c>
      <c r="M8" s="94" t="s">
        <v>152</v>
      </c>
      <c r="N8" s="94" t="s">
        <v>152</v>
      </c>
      <c r="O8" s="94" t="s">
        <v>152</v>
      </c>
      <c r="P8" s="94" t="s">
        <v>152</v>
      </c>
      <c r="Q8" s="94" t="s">
        <v>152</v>
      </c>
      <c r="R8" s="94" t="s">
        <v>152</v>
      </c>
      <c r="T8" s="94" t="s">
        <v>152</v>
      </c>
      <c r="U8" s="94" t="s">
        <v>152</v>
      </c>
      <c r="V8" s="94" t="s">
        <v>152</v>
      </c>
      <c r="W8" s="94" t="s">
        <v>152</v>
      </c>
      <c r="X8" s="94" t="s">
        <v>152</v>
      </c>
      <c r="Y8" s="94" t="s">
        <v>152</v>
      </c>
      <c r="Z8" s="94" t="s">
        <v>152</v>
      </c>
      <c r="AA8" s="94" t="s">
        <v>152</v>
      </c>
      <c r="AB8" s="94" t="s">
        <v>152</v>
      </c>
      <c r="AC8" s="94" t="s">
        <v>152</v>
      </c>
      <c r="AE8" s="94" t="s">
        <v>150</v>
      </c>
      <c r="AF8" s="94" t="s">
        <v>150</v>
      </c>
      <c r="AG8" s="94" t="s">
        <v>150</v>
      </c>
    </row>
    <row r="9" spans="1:33" s="41" customFormat="1" outlineLevel="1" x14ac:dyDescent="0.2">
      <c r="C9" s="41" t="s">
        <v>148</v>
      </c>
      <c r="E9" s="94" t="s">
        <v>177</v>
      </c>
      <c r="F9" s="94" t="s">
        <v>178</v>
      </c>
      <c r="G9" s="94" t="s">
        <v>179</v>
      </c>
      <c r="I9" s="94" t="s">
        <v>180</v>
      </c>
      <c r="J9" s="94" t="s">
        <v>182</v>
      </c>
      <c r="K9" s="94" t="s">
        <v>181</v>
      </c>
      <c r="L9" s="94" t="s">
        <v>183</v>
      </c>
      <c r="M9" s="94" t="s">
        <v>184</v>
      </c>
      <c r="N9" s="94" t="s">
        <v>180</v>
      </c>
      <c r="O9" s="94" t="s">
        <v>182</v>
      </c>
      <c r="P9" s="94" t="s">
        <v>181</v>
      </c>
      <c r="Q9" s="94" t="s">
        <v>183</v>
      </c>
      <c r="R9" s="94" t="s">
        <v>184</v>
      </c>
      <c r="T9" s="94" t="s">
        <v>180</v>
      </c>
      <c r="U9" s="94" t="s">
        <v>182</v>
      </c>
      <c r="V9" s="94" t="s">
        <v>181</v>
      </c>
      <c r="W9" s="94" t="s">
        <v>183</v>
      </c>
      <c r="X9" s="94" t="s">
        <v>184</v>
      </c>
      <c r="Y9" s="94" t="s">
        <v>180</v>
      </c>
      <c r="Z9" s="94" t="s">
        <v>182</v>
      </c>
      <c r="AA9" s="94" t="s">
        <v>181</v>
      </c>
      <c r="AB9" s="94" t="s">
        <v>183</v>
      </c>
      <c r="AC9" s="94" t="s">
        <v>184</v>
      </c>
      <c r="AE9" s="94" t="s">
        <v>213</v>
      </c>
      <c r="AF9" s="94" t="s">
        <v>214</v>
      </c>
      <c r="AG9" s="94" t="s">
        <v>215</v>
      </c>
    </row>
    <row r="10" spans="1:33" s="41" customFormat="1" outlineLevel="1" x14ac:dyDescent="0.2">
      <c r="C10" s="41" t="s">
        <v>245</v>
      </c>
      <c r="E10" s="94" t="s">
        <v>204</v>
      </c>
      <c r="F10" s="94" t="s">
        <v>203</v>
      </c>
      <c r="G10" s="94" t="s">
        <v>203</v>
      </c>
      <c r="I10" s="94" t="s">
        <v>133</v>
      </c>
      <c r="J10" s="94" t="s">
        <v>133</v>
      </c>
      <c r="K10" s="94" t="s">
        <v>193</v>
      </c>
      <c r="L10" s="94" t="s">
        <v>193</v>
      </c>
      <c r="M10" s="94" t="s">
        <v>193</v>
      </c>
      <c r="N10" s="94" t="s">
        <v>133</v>
      </c>
      <c r="O10" s="94" t="s">
        <v>133</v>
      </c>
      <c r="P10" s="94" t="s">
        <v>193</v>
      </c>
      <c r="Q10" s="94" t="s">
        <v>193</v>
      </c>
      <c r="R10" s="94" t="s">
        <v>193</v>
      </c>
      <c r="T10" s="94" t="s">
        <v>133</v>
      </c>
      <c r="U10" s="94" t="s">
        <v>133</v>
      </c>
      <c r="V10" s="94" t="s">
        <v>195</v>
      </c>
      <c r="W10" s="94" t="s">
        <v>195</v>
      </c>
      <c r="X10" s="94" t="s">
        <v>195</v>
      </c>
      <c r="Y10" s="94" t="s">
        <v>133</v>
      </c>
      <c r="Z10" s="94" t="s">
        <v>133</v>
      </c>
      <c r="AA10" s="94" t="s">
        <v>195</v>
      </c>
      <c r="AB10" s="94" t="s">
        <v>195</v>
      </c>
      <c r="AC10" s="94" t="s">
        <v>195</v>
      </c>
      <c r="AE10" s="94" t="s">
        <v>133</v>
      </c>
      <c r="AF10" s="94" t="s">
        <v>133</v>
      </c>
      <c r="AG10" s="94" t="s">
        <v>190</v>
      </c>
    </row>
    <row r="11" spans="1:33" s="41" customFormat="1" outlineLevel="1" x14ac:dyDescent="0.2">
      <c r="C11" s="41" t="s">
        <v>246</v>
      </c>
      <c r="E11" s="94" t="s">
        <v>133</v>
      </c>
      <c r="F11" s="94" t="s">
        <v>133</v>
      </c>
      <c r="G11" s="94" t="s">
        <v>133</v>
      </c>
      <c r="I11" s="94" t="s">
        <v>133</v>
      </c>
      <c r="J11" s="94" t="s">
        <v>133</v>
      </c>
      <c r="K11" s="94" t="s">
        <v>133</v>
      </c>
      <c r="L11" s="94" t="s">
        <v>133</v>
      </c>
      <c r="M11" s="94" t="s">
        <v>133</v>
      </c>
      <c r="N11" s="94" t="s">
        <v>133</v>
      </c>
      <c r="O11" s="94" t="s">
        <v>133</v>
      </c>
      <c r="P11" s="94" t="s">
        <v>133</v>
      </c>
      <c r="Q11" s="94" t="s">
        <v>133</v>
      </c>
      <c r="R11" s="94" t="s">
        <v>133</v>
      </c>
      <c r="T11" s="94" t="s">
        <v>133</v>
      </c>
      <c r="U11" s="94" t="s">
        <v>133</v>
      </c>
      <c r="V11" s="94" t="s">
        <v>133</v>
      </c>
      <c r="W11" s="94" t="s">
        <v>133</v>
      </c>
      <c r="X11" s="94" t="s">
        <v>133</v>
      </c>
      <c r="Y11" s="94" t="s">
        <v>133</v>
      </c>
      <c r="Z11" s="94" t="s">
        <v>133</v>
      </c>
      <c r="AA11" s="94" t="s">
        <v>133</v>
      </c>
      <c r="AB11" s="94" t="s">
        <v>133</v>
      </c>
      <c r="AC11" s="94" t="s">
        <v>133</v>
      </c>
      <c r="AE11" s="94" t="s">
        <v>133</v>
      </c>
      <c r="AF11" s="94" t="s">
        <v>133</v>
      </c>
      <c r="AG11" s="94" t="s">
        <v>133</v>
      </c>
    </row>
    <row r="12" spans="1:33" s="41" customFormat="1" outlineLevel="1" x14ac:dyDescent="0.2">
      <c r="C12" s="41" t="s">
        <v>247</v>
      </c>
      <c r="E12" s="94" t="s">
        <v>162</v>
      </c>
      <c r="F12" s="94" t="s">
        <v>162</v>
      </c>
      <c r="G12" s="94" t="s">
        <v>162</v>
      </c>
      <c r="I12" s="94" t="s">
        <v>163</v>
      </c>
      <c r="J12" s="94" t="s">
        <v>163</v>
      </c>
      <c r="K12" s="94" t="s">
        <v>163</v>
      </c>
      <c r="L12" s="94" t="s">
        <v>163</v>
      </c>
      <c r="M12" s="94" t="s">
        <v>163</v>
      </c>
      <c r="N12" s="94" t="s">
        <v>163</v>
      </c>
      <c r="O12" s="94" t="s">
        <v>163</v>
      </c>
      <c r="P12" s="94" t="s">
        <v>163</v>
      </c>
      <c r="Q12" s="94" t="s">
        <v>163</v>
      </c>
      <c r="R12" s="94" t="s">
        <v>163</v>
      </c>
      <c r="T12" s="94" t="s">
        <v>163</v>
      </c>
      <c r="U12" s="94" t="s">
        <v>163</v>
      </c>
      <c r="V12" s="94" t="s">
        <v>163</v>
      </c>
      <c r="W12" s="94" t="s">
        <v>163</v>
      </c>
      <c r="X12" s="94" t="s">
        <v>163</v>
      </c>
      <c r="Y12" s="94" t="s">
        <v>163</v>
      </c>
      <c r="Z12" s="94" t="s">
        <v>163</v>
      </c>
      <c r="AA12" s="94" t="s">
        <v>163</v>
      </c>
      <c r="AB12" s="94" t="s">
        <v>163</v>
      </c>
      <c r="AC12" s="94" t="s">
        <v>163</v>
      </c>
      <c r="AE12" s="94" t="s">
        <v>164</v>
      </c>
      <c r="AF12" s="94" t="s">
        <v>164</v>
      </c>
      <c r="AG12" s="94" t="s">
        <v>164</v>
      </c>
    </row>
    <row r="13" spans="1:33" s="41" customFormat="1" outlineLevel="1" x14ac:dyDescent="0.2">
      <c r="C13" s="41" t="s">
        <v>229</v>
      </c>
      <c r="E13" s="94" t="s">
        <v>133</v>
      </c>
      <c r="F13" s="94" t="s">
        <v>133</v>
      </c>
      <c r="G13" s="94" t="s">
        <v>133</v>
      </c>
      <c r="I13" s="94" t="s">
        <v>133</v>
      </c>
      <c r="J13" s="94" t="s">
        <v>133</v>
      </c>
      <c r="K13" s="94" t="s">
        <v>133</v>
      </c>
      <c r="L13" s="94" t="s">
        <v>133</v>
      </c>
      <c r="M13" s="94" t="s">
        <v>133</v>
      </c>
      <c r="N13" s="94" t="s">
        <v>133</v>
      </c>
      <c r="O13" s="94" t="s">
        <v>133</v>
      </c>
      <c r="P13" s="94" t="s">
        <v>133</v>
      </c>
      <c r="Q13" s="94" t="s">
        <v>133</v>
      </c>
      <c r="R13" s="94" t="s">
        <v>133</v>
      </c>
      <c r="T13" s="94" t="s">
        <v>133</v>
      </c>
      <c r="U13" s="94" t="s">
        <v>133</v>
      </c>
      <c r="V13" s="94" t="s">
        <v>133</v>
      </c>
      <c r="W13" s="94" t="s">
        <v>133</v>
      </c>
      <c r="X13" s="94" t="s">
        <v>133</v>
      </c>
      <c r="Y13" s="94" t="s">
        <v>133</v>
      </c>
      <c r="Z13" s="94" t="s">
        <v>133</v>
      </c>
      <c r="AA13" s="94" t="s">
        <v>133</v>
      </c>
      <c r="AB13" s="94" t="s">
        <v>133</v>
      </c>
      <c r="AC13" s="94" t="s">
        <v>133</v>
      </c>
      <c r="AE13" s="94" t="s">
        <v>133</v>
      </c>
      <c r="AF13" s="94" t="s">
        <v>133</v>
      </c>
      <c r="AG13" s="94" t="s">
        <v>133</v>
      </c>
    </row>
    <row r="14" spans="1:33" s="41" customFormat="1" outlineLevel="1" x14ac:dyDescent="0.2">
      <c r="C14" s="41" t="s">
        <v>248</v>
      </c>
      <c r="E14" s="94" t="s">
        <v>133</v>
      </c>
      <c r="F14" s="94" t="s">
        <v>176</v>
      </c>
      <c r="G14" s="94" t="s">
        <v>176</v>
      </c>
      <c r="I14" s="94" t="s">
        <v>133</v>
      </c>
      <c r="J14" s="94" t="s">
        <v>133</v>
      </c>
      <c r="K14" s="94" t="s">
        <v>133</v>
      </c>
      <c r="L14" s="94" t="s">
        <v>133</v>
      </c>
      <c r="M14" s="94" t="s">
        <v>133</v>
      </c>
      <c r="N14" s="94" t="s">
        <v>171</v>
      </c>
      <c r="O14" s="94" t="s">
        <v>171</v>
      </c>
      <c r="P14" s="94" t="s">
        <v>172</v>
      </c>
      <c r="Q14" s="94" t="s">
        <v>172</v>
      </c>
      <c r="R14" s="94" t="s">
        <v>172</v>
      </c>
      <c r="T14" s="94" t="s">
        <v>133</v>
      </c>
      <c r="U14" s="94" t="s">
        <v>133</v>
      </c>
      <c r="V14" s="94" t="s">
        <v>133</v>
      </c>
      <c r="W14" s="94" t="s">
        <v>133</v>
      </c>
      <c r="X14" s="94" t="s">
        <v>133</v>
      </c>
      <c r="Y14" s="94" t="s">
        <v>171</v>
      </c>
      <c r="Z14" s="94" t="s">
        <v>171</v>
      </c>
      <c r="AA14" s="94" t="s">
        <v>172</v>
      </c>
      <c r="AB14" s="94" t="s">
        <v>172</v>
      </c>
      <c r="AC14" s="94" t="s">
        <v>172</v>
      </c>
      <c r="AE14" s="94" t="s">
        <v>173</v>
      </c>
      <c r="AF14" s="94" t="s">
        <v>174</v>
      </c>
      <c r="AG14" s="94" t="s">
        <v>174</v>
      </c>
    </row>
    <row r="15" spans="1:33" s="41" customFormat="1" outlineLevel="1" collapsed="1" x14ac:dyDescent="0.2">
      <c r="C15" s="41" t="s">
        <v>249</v>
      </c>
      <c r="E15" s="94" t="s">
        <v>133</v>
      </c>
      <c r="F15" s="94" t="s">
        <v>133</v>
      </c>
      <c r="G15" s="94" t="s">
        <v>133</v>
      </c>
      <c r="I15" s="94" t="s">
        <v>133</v>
      </c>
      <c r="J15" s="94" t="s">
        <v>133</v>
      </c>
      <c r="K15" s="94" t="s">
        <v>133</v>
      </c>
      <c r="L15" s="94" t="s">
        <v>133</v>
      </c>
      <c r="M15" s="94" t="s">
        <v>133</v>
      </c>
      <c r="N15" s="94" t="s">
        <v>133</v>
      </c>
      <c r="O15" s="94" t="s">
        <v>133</v>
      </c>
      <c r="P15" s="94" t="s">
        <v>133</v>
      </c>
      <c r="Q15" s="94" t="s">
        <v>133</v>
      </c>
      <c r="R15" s="94" t="s">
        <v>133</v>
      </c>
      <c r="T15" s="94" t="s">
        <v>133</v>
      </c>
      <c r="U15" s="94" t="s">
        <v>133</v>
      </c>
      <c r="V15" s="94" t="s">
        <v>133</v>
      </c>
      <c r="W15" s="94" t="s">
        <v>133</v>
      </c>
      <c r="X15" s="94" t="s">
        <v>133</v>
      </c>
      <c r="Y15" s="94" t="s">
        <v>133</v>
      </c>
      <c r="Z15" s="94" t="s">
        <v>133</v>
      </c>
      <c r="AA15" s="94" t="s">
        <v>133</v>
      </c>
      <c r="AB15" s="94" t="s">
        <v>133</v>
      </c>
      <c r="AC15" s="94" t="s">
        <v>133</v>
      </c>
      <c r="AE15" s="94" t="s">
        <v>133</v>
      </c>
      <c r="AF15" s="94" t="s">
        <v>133</v>
      </c>
      <c r="AG15" s="94" t="s">
        <v>175</v>
      </c>
    </row>
    <row r="16" spans="1:33" s="41" customFormat="1" x14ac:dyDescent="0.2"/>
    <row r="17" spans="3:33" s="41" customFormat="1" x14ac:dyDescent="0.2">
      <c r="C17" s="59" t="s">
        <v>250</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3:33" s="41" customFormat="1" x14ac:dyDescent="0.2"/>
    <row r="19" spans="3:33" x14ac:dyDescent="0.2">
      <c r="C19" s="41" t="s">
        <v>251</v>
      </c>
      <c r="D19" s="41"/>
      <c r="E19" s="82">
        <v>42.99</v>
      </c>
      <c r="F19" s="82">
        <v>56.79</v>
      </c>
      <c r="G19" s="82">
        <v>67.239999999999995</v>
      </c>
      <c r="H19" s="15"/>
      <c r="I19" s="111">
        <f>I22-I20</f>
        <v>35.5</v>
      </c>
      <c r="J19" s="111">
        <f t="shared" ref="J19:R19" si="0">J22-J20</f>
        <v>45.5</v>
      </c>
      <c r="K19" s="111">
        <f t="shared" si="0"/>
        <v>55.5</v>
      </c>
      <c r="L19" s="111">
        <f t="shared" si="0"/>
        <v>65.5</v>
      </c>
      <c r="M19" s="111">
        <f t="shared" si="0"/>
        <v>85.5</v>
      </c>
      <c r="N19" s="111">
        <f t="shared" si="0"/>
        <v>43.5</v>
      </c>
      <c r="O19" s="111">
        <f t="shared" si="0"/>
        <v>53.5</v>
      </c>
      <c r="P19" s="111">
        <f t="shared" si="0"/>
        <v>63.5</v>
      </c>
      <c r="Q19" s="111">
        <f t="shared" si="0"/>
        <v>73.5</v>
      </c>
      <c r="R19" s="111">
        <f t="shared" si="0"/>
        <v>93.5</v>
      </c>
      <c r="T19" s="111">
        <f>T22-T20</f>
        <v>35.5</v>
      </c>
      <c r="U19" s="111">
        <f t="shared" ref="U19:AC19" si="1">U22-U20</f>
        <v>45.5</v>
      </c>
      <c r="V19" s="111">
        <f t="shared" si="1"/>
        <v>55.5</v>
      </c>
      <c r="W19" s="111">
        <f t="shared" si="1"/>
        <v>65.5</v>
      </c>
      <c r="X19" s="111">
        <f t="shared" si="1"/>
        <v>85.5</v>
      </c>
      <c r="Y19" s="111">
        <f t="shared" si="1"/>
        <v>43.5</v>
      </c>
      <c r="Z19" s="111">
        <f t="shared" si="1"/>
        <v>53.5</v>
      </c>
      <c r="AA19" s="111">
        <f t="shared" si="1"/>
        <v>63.5</v>
      </c>
      <c r="AB19" s="111">
        <f t="shared" si="1"/>
        <v>73.5</v>
      </c>
      <c r="AC19" s="111">
        <f t="shared" si="1"/>
        <v>93.5</v>
      </c>
      <c r="AE19" s="111">
        <f t="shared" ref="AE19" si="2">AE22-AE20</f>
        <v>39.9</v>
      </c>
      <c r="AF19" s="111">
        <f t="shared" ref="AF19" si="3">AF22-AF20</f>
        <v>49.9</v>
      </c>
      <c r="AG19" s="111">
        <f t="shared" ref="AG19" si="4">AG22-AG20</f>
        <v>59.900000000000006</v>
      </c>
    </row>
    <row r="20" spans="3:33" s="41" customFormat="1" x14ac:dyDescent="0.2">
      <c r="C20" s="95" t="s">
        <v>252</v>
      </c>
      <c r="E20" s="15">
        <f>INDEX('Values and minus percentages'!$D$6:$D$62,MATCH('Wholesale tariffs - multiplay'!E21,'Values and minus percentages'!$C$6:$C$62,0))</f>
        <v>8.6999999999999993</v>
      </c>
      <c r="F20" s="15">
        <f>INDEX('Values and minus percentages'!$D$6:$D$62,MATCH('Wholesale tariffs - multiplay'!F21,'Values and minus percentages'!$C$6:$C$62,0))</f>
        <v>8.6999999999999993</v>
      </c>
      <c r="G20" s="15">
        <f>INDEX('Values and minus percentages'!$D$6:$D$62,MATCH('Wholesale tariffs - multiplay'!G21,'Values and minus percentages'!$C$6:$C$62,0))</f>
        <v>8.6999999999999993</v>
      </c>
      <c r="H20" s="15"/>
      <c r="I20" s="15">
        <f>INDEX('Values and minus percentages'!$D$6:$D$62,MATCH('Wholesale tariffs - multiplay'!I21,'Values and minus percentages'!$C$6:$C$62,0))</f>
        <v>7.45</v>
      </c>
      <c r="J20" s="15">
        <f>INDEX('Values and minus percentages'!$D$6:$D$62,MATCH('Wholesale tariffs - multiplay'!J21,'Values and minus percentages'!$C$6:$C$62,0))</f>
        <v>7.45</v>
      </c>
      <c r="K20" s="15">
        <f>INDEX('Values and minus percentages'!$D$6:$D$62,MATCH('Wholesale tariffs - multiplay'!K21,'Values and minus percentages'!$C$6:$C$62,0))</f>
        <v>7.45</v>
      </c>
      <c r="L20" s="15">
        <f>INDEX('Values and minus percentages'!$D$6:$D$62,MATCH('Wholesale tariffs - multiplay'!L21,'Values and minus percentages'!$C$6:$C$62,0))</f>
        <v>7.45</v>
      </c>
      <c r="M20" s="15">
        <f>INDEX('Values and minus percentages'!$D$6:$D$62,MATCH('Wholesale tariffs - multiplay'!M21,'Values and minus percentages'!$C$6:$C$62,0))</f>
        <v>7.45</v>
      </c>
      <c r="N20" s="15">
        <f>INDEX('Values and minus percentages'!$D$6:$D$62,MATCH('Wholesale tariffs - multiplay'!N21,'Values and minus percentages'!$C$6:$C$62,0))</f>
        <v>7.45</v>
      </c>
      <c r="O20" s="15">
        <f>INDEX('Values and minus percentages'!$D$6:$D$62,MATCH('Wholesale tariffs - multiplay'!O21,'Values and minus percentages'!$C$6:$C$62,0))</f>
        <v>7.45</v>
      </c>
      <c r="P20" s="15">
        <f>INDEX('Values and minus percentages'!$D$6:$D$62,MATCH('Wholesale tariffs - multiplay'!P21,'Values and minus percentages'!$C$6:$C$62,0))</f>
        <v>7.45</v>
      </c>
      <c r="Q20" s="15">
        <f>INDEX('Values and minus percentages'!$D$6:$D$62,MATCH('Wholesale tariffs - multiplay'!Q21,'Values and minus percentages'!$C$6:$C$62,0))</f>
        <v>7.45</v>
      </c>
      <c r="R20" s="15">
        <f>INDEX('Values and minus percentages'!$D$6:$D$62,MATCH('Wholesale tariffs - multiplay'!R21,'Values and minus percentages'!$C$6:$C$62,0))</f>
        <v>7.45</v>
      </c>
      <c r="S20" s="15"/>
      <c r="T20" s="15">
        <f>INDEX('Values and minus percentages'!$D$6:$D$62,MATCH('Wholesale tariffs - multiplay'!T21,'Values and minus percentages'!$C$6:$C$62,0))</f>
        <v>7.45</v>
      </c>
      <c r="U20" s="15">
        <f>INDEX('Values and minus percentages'!$D$6:$D$62,MATCH('Wholesale tariffs - multiplay'!U21,'Values and minus percentages'!$C$6:$C$62,0))</f>
        <v>7.45</v>
      </c>
      <c r="V20" s="15">
        <f>INDEX('Values and minus percentages'!$D$6:$D$62,MATCH('Wholesale tariffs - multiplay'!V21,'Values and minus percentages'!$C$6:$C$62,0))</f>
        <v>7.45</v>
      </c>
      <c r="W20" s="15">
        <f>INDEX('Values and minus percentages'!$D$6:$D$62,MATCH('Wholesale tariffs - multiplay'!W21,'Values and minus percentages'!$C$6:$C$62,0))</f>
        <v>7.45</v>
      </c>
      <c r="X20" s="15">
        <f>INDEX('Values and minus percentages'!$D$6:$D$62,MATCH('Wholesale tariffs - multiplay'!X21,'Values and minus percentages'!$C$6:$C$62,0))</f>
        <v>7.45</v>
      </c>
      <c r="Y20" s="15">
        <f>INDEX('Values and minus percentages'!$D$6:$D$62,MATCH('Wholesale tariffs - multiplay'!Y21,'Values and minus percentages'!$C$6:$C$62,0))</f>
        <v>7.45</v>
      </c>
      <c r="Z20" s="15">
        <f>INDEX('Values and minus percentages'!$D$6:$D$62,MATCH('Wholesale tariffs - multiplay'!Z21,'Values and minus percentages'!$C$6:$C$62,0))</f>
        <v>7.45</v>
      </c>
      <c r="AA20" s="15">
        <f>INDEX('Values and minus percentages'!$D$6:$D$62,MATCH('Wholesale tariffs - multiplay'!AA21,'Values and minus percentages'!$C$6:$C$62,0))</f>
        <v>7.45</v>
      </c>
      <c r="AB20" s="15">
        <f>INDEX('Values and minus percentages'!$D$6:$D$62,MATCH('Wholesale tariffs - multiplay'!AB21,'Values and minus percentages'!$C$6:$C$62,0))</f>
        <v>7.45</v>
      </c>
      <c r="AC20" s="15">
        <f>INDEX('Values and minus percentages'!$D$6:$D$62,MATCH('Wholesale tariffs - multiplay'!AC21,'Values and minus percentages'!$C$6:$C$62,0))</f>
        <v>7.45</v>
      </c>
      <c r="AD20" s="15"/>
      <c r="AE20" s="15">
        <f>INDEX('Values and minus percentages'!$D$6:$D$62,MATCH('Wholesale tariffs - multiplay'!AE21,'Values and minus percentages'!$C$6:$C$62,0))</f>
        <v>10</v>
      </c>
      <c r="AF20" s="15">
        <f>INDEX('Values and minus percentages'!$D$6:$D$62,MATCH('Wholesale tariffs - multiplay'!AF21,'Values and minus percentages'!$C$6:$C$62,0))</f>
        <v>10</v>
      </c>
      <c r="AG20" s="15">
        <f>INDEX('Values and minus percentages'!$D$6:$D$62,MATCH('Wholesale tariffs - multiplay'!AG21,'Values and minus percentages'!$C$6:$C$62,0))</f>
        <v>10</v>
      </c>
    </row>
    <row r="21" spans="3:33" s="41" customFormat="1" outlineLevel="1" x14ac:dyDescent="0.2">
      <c r="C21" s="108" t="s">
        <v>229</v>
      </c>
      <c r="E21" s="94" t="s">
        <v>154</v>
      </c>
      <c r="F21" s="94" t="s">
        <v>154</v>
      </c>
      <c r="G21" s="94" t="s">
        <v>154</v>
      </c>
      <c r="I21" s="94" t="s">
        <v>155</v>
      </c>
      <c r="J21" s="94" t="s">
        <v>155</v>
      </c>
      <c r="K21" s="94" t="s">
        <v>155</v>
      </c>
      <c r="L21" s="94" t="s">
        <v>155</v>
      </c>
      <c r="M21" s="94" t="s">
        <v>155</v>
      </c>
      <c r="N21" s="94" t="s">
        <v>155</v>
      </c>
      <c r="O21" s="94" t="s">
        <v>155</v>
      </c>
      <c r="P21" s="94" t="s">
        <v>155</v>
      </c>
      <c r="Q21" s="94" t="s">
        <v>155</v>
      </c>
      <c r="R21" s="94" t="s">
        <v>155</v>
      </c>
      <c r="T21" s="94" t="s">
        <v>155</v>
      </c>
      <c r="U21" s="94" t="s">
        <v>155</v>
      </c>
      <c r="V21" s="94" t="s">
        <v>155</v>
      </c>
      <c r="W21" s="94" t="s">
        <v>155</v>
      </c>
      <c r="X21" s="94" t="s">
        <v>155</v>
      </c>
      <c r="Y21" s="94" t="s">
        <v>155</v>
      </c>
      <c r="Z21" s="94" t="s">
        <v>155</v>
      </c>
      <c r="AA21" s="94" t="s">
        <v>155</v>
      </c>
      <c r="AB21" s="94" t="s">
        <v>155</v>
      </c>
      <c r="AC21" s="94" t="s">
        <v>155</v>
      </c>
      <c r="AE21" s="94" t="s">
        <v>156</v>
      </c>
      <c r="AF21" s="94" t="s">
        <v>156</v>
      </c>
      <c r="AG21" s="94" t="s">
        <v>156</v>
      </c>
    </row>
    <row r="22" spans="3:33" s="41" customFormat="1" x14ac:dyDescent="0.2">
      <c r="C22" s="41" t="s">
        <v>253</v>
      </c>
      <c r="E22" s="83">
        <f>E28+E20</f>
        <v>57.177499999999995</v>
      </c>
      <c r="F22" s="83">
        <f>F28+F20</f>
        <v>69.602499999999992</v>
      </c>
      <c r="G22" s="83">
        <f>G28+G20</f>
        <v>80.052499999999995</v>
      </c>
      <c r="H22" s="15"/>
      <c r="I22" s="82">
        <v>42.95</v>
      </c>
      <c r="J22" s="82">
        <v>52.95</v>
      </c>
      <c r="K22" s="82">
        <v>62.95</v>
      </c>
      <c r="L22" s="82">
        <v>72.95</v>
      </c>
      <c r="M22" s="82">
        <v>92.95</v>
      </c>
      <c r="N22" s="82">
        <v>50.95</v>
      </c>
      <c r="O22" s="82">
        <v>60.95</v>
      </c>
      <c r="P22" s="82">
        <v>70.95</v>
      </c>
      <c r="Q22" s="82">
        <v>80.95</v>
      </c>
      <c r="R22" s="82">
        <v>100.95</v>
      </c>
      <c r="S22" s="15"/>
      <c r="T22" s="82">
        <v>42.95</v>
      </c>
      <c r="U22" s="82">
        <v>52.95</v>
      </c>
      <c r="V22" s="82">
        <v>62.95</v>
      </c>
      <c r="W22" s="82">
        <v>72.95</v>
      </c>
      <c r="X22" s="82">
        <v>92.95</v>
      </c>
      <c r="Y22" s="82">
        <v>50.95</v>
      </c>
      <c r="Z22" s="82">
        <v>60.95</v>
      </c>
      <c r="AA22" s="82">
        <v>70.95</v>
      </c>
      <c r="AB22" s="82">
        <v>80.95</v>
      </c>
      <c r="AC22" s="82">
        <v>100.95</v>
      </c>
      <c r="AD22" s="15"/>
      <c r="AE22" s="82">
        <v>49.9</v>
      </c>
      <c r="AF22" s="82">
        <v>59.9</v>
      </c>
      <c r="AG22" s="82">
        <v>69.900000000000006</v>
      </c>
    </row>
    <row r="23" spans="3:33" s="41" customFormat="1" x14ac:dyDescent="0.2">
      <c r="C23" s="95" t="s">
        <v>254</v>
      </c>
      <c r="E23" s="83">
        <f>E22/(1+VAT.rate)</f>
        <v>47.254132231404952</v>
      </c>
      <c r="F23" s="83">
        <f>F22/(1+VAT.rate)</f>
        <v>57.522727272727266</v>
      </c>
      <c r="G23" s="83">
        <f>G22/(1+VAT.rate)</f>
        <v>66.159090909090907</v>
      </c>
      <c r="H23" s="15"/>
      <c r="I23" s="83">
        <f t="shared" ref="I23:R23" si="5">I22/(1+VAT.rate)</f>
        <v>35.495867768595048</v>
      </c>
      <c r="J23" s="83">
        <f t="shared" si="5"/>
        <v>43.760330578512402</v>
      </c>
      <c r="K23" s="83">
        <f t="shared" si="5"/>
        <v>52.024793388429757</v>
      </c>
      <c r="L23" s="83">
        <f t="shared" si="5"/>
        <v>60.289256198347111</v>
      </c>
      <c r="M23" s="83">
        <f t="shared" si="5"/>
        <v>76.818181818181827</v>
      </c>
      <c r="N23" s="83">
        <f t="shared" si="5"/>
        <v>42.107438016528931</v>
      </c>
      <c r="O23" s="83">
        <f t="shared" si="5"/>
        <v>50.371900826446286</v>
      </c>
      <c r="P23" s="83">
        <f t="shared" si="5"/>
        <v>58.63636363636364</v>
      </c>
      <c r="Q23" s="83">
        <f t="shared" si="5"/>
        <v>66.900826446281002</v>
      </c>
      <c r="R23" s="83">
        <f t="shared" si="5"/>
        <v>83.429752066115711</v>
      </c>
      <c r="S23" s="15"/>
      <c r="T23" s="83">
        <f t="shared" ref="T23:AC23" si="6">T22/(1+VAT.rate)</f>
        <v>35.495867768595048</v>
      </c>
      <c r="U23" s="83">
        <f t="shared" si="6"/>
        <v>43.760330578512402</v>
      </c>
      <c r="V23" s="83">
        <f t="shared" si="6"/>
        <v>52.024793388429757</v>
      </c>
      <c r="W23" s="83">
        <f t="shared" si="6"/>
        <v>60.289256198347111</v>
      </c>
      <c r="X23" s="83">
        <f t="shared" si="6"/>
        <v>76.818181818181827</v>
      </c>
      <c r="Y23" s="83">
        <f t="shared" si="6"/>
        <v>42.107438016528931</v>
      </c>
      <c r="Z23" s="83">
        <f t="shared" si="6"/>
        <v>50.371900826446286</v>
      </c>
      <c r="AA23" s="83">
        <f t="shared" si="6"/>
        <v>58.63636363636364</v>
      </c>
      <c r="AB23" s="83">
        <f t="shared" si="6"/>
        <v>66.900826446281002</v>
      </c>
      <c r="AC23" s="83">
        <f t="shared" si="6"/>
        <v>83.429752066115711</v>
      </c>
      <c r="AD23" s="15"/>
      <c r="AE23" s="83">
        <f>AE22/(1+VAT.rate)</f>
        <v>41.239669421487605</v>
      </c>
      <c r="AF23" s="83">
        <f>AF22/(1+VAT.rate)</f>
        <v>49.504132231404959</v>
      </c>
      <c r="AG23" s="83">
        <f>AG22/(1+VAT.rate)</f>
        <v>57.768595041322321</v>
      </c>
    </row>
    <row r="24" spans="3:33" s="41" customFormat="1" x14ac:dyDescent="0.2"/>
    <row r="25" spans="3:33" s="41" customFormat="1" x14ac:dyDescent="0.2">
      <c r="C25" s="41" t="s">
        <v>255</v>
      </c>
      <c r="E25" s="15">
        <f>INDEX('Values and minus percentages'!$F$6:$F$62,MATCH('Wholesale tariffs - multiplay'!E26,'Values and minus percentages'!$C$6:$C$62,0))</f>
        <v>5.4874999999999998</v>
      </c>
      <c r="F25" s="15">
        <f>INDEX('Values and minus percentages'!$F$6:$F$62,MATCH('Wholesale tariffs - multiplay'!F26,'Values and minus percentages'!$C$6:$C$62,0))</f>
        <v>4.1124999999999998</v>
      </c>
      <c r="G25" s="15">
        <f>INDEX('Values and minus percentages'!$F$6:$F$62,MATCH('Wholesale tariffs - multiplay'!G26,'Values and minus percentages'!$C$6:$C$62,0))</f>
        <v>4.1124999999999998</v>
      </c>
      <c r="H25" s="15"/>
      <c r="I25" s="15">
        <f>INDEX('Values and minus percentages'!$F$6:$F$62,MATCH('Wholesale tariffs - multiplay'!I26,'Values and minus percentages'!$C$6:$C$62,0))</f>
        <v>0</v>
      </c>
      <c r="J25" s="15">
        <f>INDEX('Values and minus percentages'!$F$6:$F$62,MATCH('Wholesale tariffs - multiplay'!J26,'Values and minus percentages'!$C$6:$C$62,0))</f>
        <v>0</v>
      </c>
      <c r="K25" s="15">
        <f>INDEX('Values and minus percentages'!$F$6:$F$62,MATCH('Wholesale tariffs - multiplay'!K26,'Values and minus percentages'!$C$6:$C$62,0))</f>
        <v>0.5</v>
      </c>
      <c r="L25" s="15">
        <f>INDEX('Values and minus percentages'!$F$6:$F$62,MATCH('Wholesale tariffs - multiplay'!L26,'Values and minus percentages'!$C$6:$C$62,0))</f>
        <v>0.5</v>
      </c>
      <c r="M25" s="15">
        <f>INDEX('Values and minus percentages'!$F$6:$F$62,MATCH('Wholesale tariffs - multiplay'!M26,'Values and minus percentages'!$C$6:$C$62,0))</f>
        <v>0.5</v>
      </c>
      <c r="N25" s="15">
        <f>INDEX('Values and minus percentages'!$F$6:$F$62,MATCH('Wholesale tariffs - multiplay'!N26,'Values and minus percentages'!$C$6:$C$62,0))</f>
        <v>0</v>
      </c>
      <c r="O25" s="15">
        <f>INDEX('Values and minus percentages'!$F$6:$F$62,MATCH('Wholesale tariffs - multiplay'!O26,'Values and minus percentages'!$C$6:$C$62,0))</f>
        <v>0</v>
      </c>
      <c r="P25" s="15">
        <f>INDEX('Values and minus percentages'!$F$6:$F$62,MATCH('Wholesale tariffs - multiplay'!P26,'Values and minus percentages'!$C$6:$C$62,0))</f>
        <v>0.5</v>
      </c>
      <c r="Q25" s="15">
        <f>INDEX('Values and minus percentages'!$F$6:$F$62,MATCH('Wholesale tariffs - multiplay'!Q26,'Values and minus percentages'!$C$6:$C$62,0))</f>
        <v>0.5</v>
      </c>
      <c r="R25" s="15">
        <f>INDEX('Values and minus percentages'!$F$6:$F$62,MATCH('Wholesale tariffs - multiplay'!R26,'Values and minus percentages'!$C$6:$C$62,0))</f>
        <v>0.5</v>
      </c>
      <c r="S25" s="15"/>
      <c r="T25" s="15">
        <f>INDEX('Values and minus percentages'!$F$6:$F$62,MATCH('Wholesale tariffs - multiplay'!T26,'Values and minus percentages'!$C$6:$C$62,0))</f>
        <v>0</v>
      </c>
      <c r="U25" s="15">
        <f>INDEX('Values and minus percentages'!$F$6:$F$62,MATCH('Wholesale tariffs - multiplay'!U26,'Values and minus percentages'!$C$6:$C$62,0))</f>
        <v>0</v>
      </c>
      <c r="V25" s="15">
        <f>INDEX('Values and minus percentages'!$F$6:$F$62,MATCH('Wholesale tariffs - multiplay'!V26,'Values and minus percentages'!$C$6:$C$62,0))</f>
        <v>0.5</v>
      </c>
      <c r="W25" s="15">
        <f>INDEX('Values and minus percentages'!$F$6:$F$62,MATCH('Wholesale tariffs - multiplay'!W26,'Values and minus percentages'!$C$6:$C$62,0))</f>
        <v>0.5</v>
      </c>
      <c r="X25" s="15">
        <f>INDEX('Values and minus percentages'!$F$6:$F$62,MATCH('Wholesale tariffs - multiplay'!X26,'Values and minus percentages'!$C$6:$C$62,0))</f>
        <v>0.5</v>
      </c>
      <c r="Y25" s="15">
        <f>INDEX('Values and minus percentages'!$F$6:$F$62,MATCH('Wholesale tariffs - multiplay'!Y26,'Values and minus percentages'!$C$6:$C$62,0))</f>
        <v>0</v>
      </c>
      <c r="Z25" s="15">
        <f>INDEX('Values and minus percentages'!$F$6:$F$62,MATCH('Wholesale tariffs - multiplay'!Z26,'Values and minus percentages'!$C$6:$C$62,0))</f>
        <v>0</v>
      </c>
      <c r="AA25" s="15">
        <f>INDEX('Values and minus percentages'!$F$6:$F$62,MATCH('Wholesale tariffs - multiplay'!AA26,'Values and minus percentages'!$C$6:$C$62,0))</f>
        <v>0.5</v>
      </c>
      <c r="AB25" s="15">
        <f>INDEX('Values and minus percentages'!$F$6:$F$62,MATCH('Wholesale tariffs - multiplay'!AB26,'Values and minus percentages'!$C$6:$C$62,0))</f>
        <v>0.5</v>
      </c>
      <c r="AC25" s="15">
        <f>INDEX('Values and minus percentages'!$F$6:$F$62,MATCH('Wholesale tariffs - multiplay'!AC26,'Values and minus percentages'!$C$6:$C$62,0))</f>
        <v>0.5</v>
      </c>
      <c r="AD25" s="15"/>
      <c r="AE25" s="15">
        <f>INDEX('Values and minus percentages'!$F$6:$F$62,MATCH('Wholesale tariffs - multiplay'!AE26,'Values and minus percentages'!$C$6:$C$62,0))</f>
        <v>0</v>
      </c>
      <c r="AF25" s="15">
        <f>INDEX('Values and minus percentages'!$F$6:$F$62,MATCH('Wholesale tariffs - multiplay'!AF26,'Values and minus percentages'!$C$6:$C$62,0))</f>
        <v>0</v>
      </c>
      <c r="AG25" s="15">
        <f>INDEX('Values and minus percentages'!$F$6:$F$62,MATCH('Wholesale tariffs - multiplay'!AG26,'Values and minus percentages'!$C$6:$C$62,0))</f>
        <v>1.3</v>
      </c>
    </row>
    <row r="26" spans="3:33" s="41" customFormat="1" outlineLevel="1" x14ac:dyDescent="0.2">
      <c r="C26" s="95" t="s">
        <v>256</v>
      </c>
      <c r="E26" s="94" t="s">
        <v>169</v>
      </c>
      <c r="F26" s="94" t="s">
        <v>170</v>
      </c>
      <c r="G26" s="94" t="s">
        <v>170</v>
      </c>
      <c r="I26" s="94" t="s">
        <v>133</v>
      </c>
      <c r="J26" s="94" t="s">
        <v>133</v>
      </c>
      <c r="K26" s="94" t="s">
        <v>194</v>
      </c>
      <c r="L26" s="94" t="s">
        <v>194</v>
      </c>
      <c r="M26" s="94" t="s">
        <v>194</v>
      </c>
      <c r="N26" s="94" t="s">
        <v>133</v>
      </c>
      <c r="O26" s="94" t="s">
        <v>133</v>
      </c>
      <c r="P26" s="94" t="s">
        <v>194</v>
      </c>
      <c r="Q26" s="94" t="s">
        <v>194</v>
      </c>
      <c r="R26" s="94" t="s">
        <v>194</v>
      </c>
      <c r="T26" s="94" t="s">
        <v>133</v>
      </c>
      <c r="U26" s="94" t="s">
        <v>133</v>
      </c>
      <c r="V26" s="94" t="s">
        <v>196</v>
      </c>
      <c r="W26" s="94" t="s">
        <v>196</v>
      </c>
      <c r="X26" s="94" t="s">
        <v>196</v>
      </c>
      <c r="Y26" s="94" t="s">
        <v>133</v>
      </c>
      <c r="Z26" s="94" t="s">
        <v>133</v>
      </c>
      <c r="AA26" s="94" t="s">
        <v>196</v>
      </c>
      <c r="AB26" s="94" t="s">
        <v>196</v>
      </c>
      <c r="AC26" s="94" t="s">
        <v>196</v>
      </c>
      <c r="AE26" s="94" t="s">
        <v>133</v>
      </c>
      <c r="AF26" s="94" t="s">
        <v>133</v>
      </c>
      <c r="AG26" s="94" t="s">
        <v>168</v>
      </c>
    </row>
    <row r="27" spans="3:33" s="41" customFormat="1" x14ac:dyDescent="0.2">
      <c r="C27" s="95"/>
      <c r="E27" s="15"/>
      <c r="F27" s="15"/>
      <c r="G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row>
    <row r="28" spans="3:33" s="41" customFormat="1" x14ac:dyDescent="0.2">
      <c r="C28" s="41" t="s">
        <v>257</v>
      </c>
      <c r="E28" s="83">
        <f>IF(E13="-",E19,E22)+E25</f>
        <v>48.477499999999999</v>
      </c>
      <c r="F28" s="83">
        <f>IF(F13="-",F19,F22)+F25</f>
        <v>60.902499999999996</v>
      </c>
      <c r="G28" s="83">
        <f>IF(G13="-",G19,G22)+G25</f>
        <v>71.352499999999992</v>
      </c>
      <c r="H28" s="15"/>
      <c r="I28" s="83">
        <f t="shared" ref="I28:R28" si="7">IF(I13="-",I19,I22)</f>
        <v>35.5</v>
      </c>
      <c r="J28" s="83">
        <f t="shared" si="7"/>
        <v>45.5</v>
      </c>
      <c r="K28" s="83">
        <f t="shared" si="7"/>
        <v>55.5</v>
      </c>
      <c r="L28" s="83">
        <f t="shared" si="7"/>
        <v>65.5</v>
      </c>
      <c r="M28" s="83">
        <f t="shared" si="7"/>
        <v>85.5</v>
      </c>
      <c r="N28" s="83">
        <f t="shared" si="7"/>
        <v>43.5</v>
      </c>
      <c r="O28" s="83">
        <f t="shared" si="7"/>
        <v>53.5</v>
      </c>
      <c r="P28" s="83">
        <f t="shared" si="7"/>
        <v>63.5</v>
      </c>
      <c r="Q28" s="83">
        <f t="shared" si="7"/>
        <v>73.5</v>
      </c>
      <c r="R28" s="83">
        <f t="shared" si="7"/>
        <v>93.5</v>
      </c>
      <c r="S28" s="15"/>
      <c r="T28" s="83">
        <f t="shared" ref="T28:AC28" si="8">IF(T13="-",T19,T22)</f>
        <v>35.5</v>
      </c>
      <c r="U28" s="83">
        <f t="shared" si="8"/>
        <v>45.5</v>
      </c>
      <c r="V28" s="83">
        <f t="shared" si="8"/>
        <v>55.5</v>
      </c>
      <c r="W28" s="83">
        <f t="shared" si="8"/>
        <v>65.5</v>
      </c>
      <c r="X28" s="83">
        <f t="shared" si="8"/>
        <v>85.5</v>
      </c>
      <c r="Y28" s="83">
        <f t="shared" si="8"/>
        <v>43.5</v>
      </c>
      <c r="Z28" s="83">
        <f t="shared" si="8"/>
        <v>53.5</v>
      </c>
      <c r="AA28" s="83">
        <f t="shared" si="8"/>
        <v>63.5</v>
      </c>
      <c r="AB28" s="83">
        <f t="shared" si="8"/>
        <v>73.5</v>
      </c>
      <c r="AC28" s="83">
        <f t="shared" si="8"/>
        <v>93.5</v>
      </c>
      <c r="AD28" s="15"/>
      <c r="AE28" s="83">
        <f>IF(AE13="-",AE19,AE22)</f>
        <v>39.9</v>
      </c>
      <c r="AF28" s="83">
        <f>IF(AF13="-",AF19,AF22)</f>
        <v>49.9</v>
      </c>
      <c r="AG28" s="83">
        <f>IF(AG13="-",AG19,AG22)</f>
        <v>59.900000000000006</v>
      </c>
    </row>
    <row r="29" spans="3:33" s="41" customFormat="1" x14ac:dyDescent="0.2">
      <c r="C29" s="95" t="s">
        <v>258</v>
      </c>
      <c r="E29" s="83">
        <f>E28+E30</f>
        <v>40.064049586776861</v>
      </c>
      <c r="F29" s="83">
        <f t="shared" ref="F29:AG29" si="9">F28+F30</f>
        <v>50.332644628099168</v>
      </c>
      <c r="G29" s="83">
        <f t="shared" si="9"/>
        <v>58.969008264462801</v>
      </c>
      <c r="H29" s="15"/>
      <c r="I29" s="83">
        <f t="shared" si="9"/>
        <v>29.33884297520661</v>
      </c>
      <c r="J29" s="83">
        <f t="shared" si="9"/>
        <v>37.603305785123965</v>
      </c>
      <c r="K29" s="83">
        <f t="shared" si="9"/>
        <v>45.867768595041319</v>
      </c>
      <c r="L29" s="83">
        <f t="shared" si="9"/>
        <v>54.132231404958674</v>
      </c>
      <c r="M29" s="83">
        <f t="shared" si="9"/>
        <v>70.661157024793383</v>
      </c>
      <c r="N29" s="83">
        <f t="shared" si="9"/>
        <v>35.950413223140494</v>
      </c>
      <c r="O29" s="83">
        <f t="shared" si="9"/>
        <v>44.214876033057848</v>
      </c>
      <c r="P29" s="83">
        <f t="shared" si="9"/>
        <v>52.47933884297521</v>
      </c>
      <c r="Q29" s="83">
        <f t="shared" si="9"/>
        <v>60.743801652892564</v>
      </c>
      <c r="R29" s="83">
        <f t="shared" si="9"/>
        <v>77.27272727272728</v>
      </c>
      <c r="S29" s="15"/>
      <c r="T29" s="83">
        <f t="shared" ref="T29:AC29" si="10">T28+T30</f>
        <v>29.33884297520661</v>
      </c>
      <c r="U29" s="83">
        <f t="shared" si="10"/>
        <v>37.603305785123965</v>
      </c>
      <c r="V29" s="83">
        <f t="shared" si="10"/>
        <v>45.867768595041319</v>
      </c>
      <c r="W29" s="83">
        <f t="shared" si="10"/>
        <v>54.132231404958674</v>
      </c>
      <c r="X29" s="83">
        <f t="shared" si="10"/>
        <v>70.661157024793383</v>
      </c>
      <c r="Y29" s="83">
        <f t="shared" si="10"/>
        <v>35.950413223140494</v>
      </c>
      <c r="Z29" s="83">
        <f t="shared" si="10"/>
        <v>44.214876033057848</v>
      </c>
      <c r="AA29" s="83">
        <f t="shared" si="10"/>
        <v>52.47933884297521</v>
      </c>
      <c r="AB29" s="83">
        <f t="shared" si="10"/>
        <v>60.743801652892564</v>
      </c>
      <c r="AC29" s="83">
        <f t="shared" si="10"/>
        <v>77.27272727272728</v>
      </c>
      <c r="AD29" s="15"/>
      <c r="AE29" s="83">
        <f t="shared" si="9"/>
        <v>32.975206611570243</v>
      </c>
      <c r="AF29" s="83">
        <f t="shared" si="9"/>
        <v>41.239669421487605</v>
      </c>
      <c r="AG29" s="83">
        <f t="shared" si="9"/>
        <v>49.504132231404967</v>
      </c>
    </row>
    <row r="30" spans="3:33" outlineLevel="1" x14ac:dyDescent="0.2">
      <c r="C30" s="95" t="s">
        <v>259</v>
      </c>
      <c r="D30" s="41"/>
      <c r="E30" s="15">
        <f>-E28/(1+VAT.rate)*VAT.rate</f>
        <v>-8.4134504132231402</v>
      </c>
      <c r="F30" s="15">
        <f>-F28/(1+VAT.rate)*VAT.rate</f>
        <v>-10.569855371900827</v>
      </c>
      <c r="G30" s="15">
        <f>-G28/(1+VAT.rate)*VAT.rate</f>
        <v>-12.38349173553719</v>
      </c>
      <c r="I30" s="15">
        <f t="shared" ref="I30:R30" si="11">-I28/(1+VAT.rate)*VAT.rate</f>
        <v>-6.1611570247933889</v>
      </c>
      <c r="J30" s="15">
        <f t="shared" si="11"/>
        <v>-7.8966942148760326</v>
      </c>
      <c r="K30" s="15">
        <f t="shared" si="11"/>
        <v>-9.632231404958679</v>
      </c>
      <c r="L30" s="15">
        <f t="shared" si="11"/>
        <v>-11.367768595041323</v>
      </c>
      <c r="M30" s="15">
        <f t="shared" si="11"/>
        <v>-14.838842975206612</v>
      </c>
      <c r="N30" s="15">
        <f t="shared" si="11"/>
        <v>-7.5495867768595035</v>
      </c>
      <c r="O30" s="15">
        <f t="shared" si="11"/>
        <v>-9.2851239669421499</v>
      </c>
      <c r="P30" s="15">
        <f t="shared" si="11"/>
        <v>-11.020661157024794</v>
      </c>
      <c r="Q30" s="15">
        <f t="shared" si="11"/>
        <v>-12.756198347107437</v>
      </c>
      <c r="R30" s="15">
        <f t="shared" si="11"/>
        <v>-16.227272727272727</v>
      </c>
      <c r="S30" s="15"/>
      <c r="T30" s="15">
        <f t="shared" ref="T30:AC30" si="12">-T28/(1+VAT.rate)*VAT.rate</f>
        <v>-6.1611570247933889</v>
      </c>
      <c r="U30" s="15">
        <f t="shared" si="12"/>
        <v>-7.8966942148760326</v>
      </c>
      <c r="V30" s="15">
        <f t="shared" si="12"/>
        <v>-9.632231404958679</v>
      </c>
      <c r="W30" s="15">
        <f t="shared" si="12"/>
        <v>-11.367768595041323</v>
      </c>
      <c r="X30" s="15">
        <f t="shared" si="12"/>
        <v>-14.838842975206612</v>
      </c>
      <c r="Y30" s="15">
        <f t="shared" si="12"/>
        <v>-7.5495867768595035</v>
      </c>
      <c r="Z30" s="15">
        <f t="shared" si="12"/>
        <v>-9.2851239669421499</v>
      </c>
      <c r="AA30" s="15">
        <f t="shared" si="12"/>
        <v>-11.020661157024794</v>
      </c>
      <c r="AB30" s="15">
        <f t="shared" si="12"/>
        <v>-12.756198347107437</v>
      </c>
      <c r="AC30" s="15">
        <f t="shared" si="12"/>
        <v>-16.227272727272727</v>
      </c>
      <c r="AD30" s="15"/>
      <c r="AE30" s="15">
        <f>-AE28/(1+VAT.rate)*VAT.rate</f>
        <v>-6.9247933884297526</v>
      </c>
      <c r="AF30" s="15">
        <f>-AF28/(1+VAT.rate)*VAT.rate</f>
        <v>-8.6603305785123972</v>
      </c>
      <c r="AG30" s="15">
        <f>-AG28/(1+VAT.rate)*VAT.rate</f>
        <v>-10.395867768595043</v>
      </c>
    </row>
    <row r="31" spans="3:33" s="41" customFormat="1" x14ac:dyDescent="0.2">
      <c r="C31" s="95"/>
      <c r="E31" s="15"/>
      <c r="F31" s="15"/>
      <c r="G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3:33" s="41" customFormat="1" x14ac:dyDescent="0.2">
      <c r="C32" s="95" t="s">
        <v>260</v>
      </c>
      <c r="E32" s="15">
        <f>-INDEX('Values and minus percentages'!$G$6:$G$62,MATCH('Wholesale tariffs - multiplay'!E33,'Values and minus percentages'!$C$6:$C$62,0))-INDEX('Values and minus percentages'!$G$6:$G$62,MATCH('Wholesale tariffs - multiplay'!E34,'Values and minus percentages'!$C$6:$C$62,0))</f>
        <v>-3.3057851239669422</v>
      </c>
      <c r="F32" s="15">
        <f>-INDEX('Values and minus percentages'!$G$6:$G$62,MATCH('Wholesale tariffs - multiplay'!F33,'Values and minus percentages'!$C$6:$C$62,0))-INDEX('Values and minus percentages'!$G$6:$G$62,MATCH('Wholesale tariffs - multiplay'!F34,'Values and minus percentages'!$C$6:$C$62,0))</f>
        <v>-3.3057851239669422</v>
      </c>
      <c r="G32" s="15">
        <f>-INDEX('Values and minus percentages'!$G$6:$G$62,MATCH('Wholesale tariffs - multiplay'!G33,'Values and minus percentages'!$C$6:$C$62,0))-INDEX('Values and minus percentages'!$G$6:$G$62,MATCH('Wholesale tariffs - multiplay'!G34,'Values and minus percentages'!$C$6:$C$62,0))</f>
        <v>-3.3057851239669422</v>
      </c>
      <c r="I32" s="15">
        <f>-INDEX('Values and minus percentages'!$G$6:$G$62,MATCH('Wholesale tariffs - multiplay'!I33,'Values and minus percentages'!$C$6:$C$62,0))-INDEX('Values and minus percentages'!$G$6:$G$62,MATCH('Wholesale tariffs - multiplay'!I34,'Values and minus percentages'!$C$6:$C$62,0))</f>
        <v>-3.2809917355371905</v>
      </c>
      <c r="J32" s="15">
        <f>-INDEX('Values and minus percentages'!$G$6:$G$62,MATCH('Wholesale tariffs - multiplay'!J33,'Values and minus percentages'!$C$6:$C$62,0))-INDEX('Values and minus percentages'!$G$6:$G$62,MATCH('Wholesale tariffs - multiplay'!J34,'Values and minus percentages'!$C$6:$C$62,0))</f>
        <v>-3.2809917355371905</v>
      </c>
      <c r="K32" s="15">
        <f>-INDEX('Values and minus percentages'!$G$6:$G$62,MATCH('Wholesale tariffs - multiplay'!K33,'Values and minus percentages'!$C$6:$C$62,0))-INDEX('Values and minus percentages'!$G$6:$G$62,MATCH('Wholesale tariffs - multiplay'!K34,'Values and minus percentages'!$C$6:$C$62,0))</f>
        <v>-3.2809917355371905</v>
      </c>
      <c r="L32" s="15">
        <f>-INDEX('Values and minus percentages'!$G$6:$G$62,MATCH('Wholesale tariffs - multiplay'!L33,'Values and minus percentages'!$C$6:$C$62,0))-INDEX('Values and minus percentages'!$G$6:$G$62,MATCH('Wholesale tariffs - multiplay'!L34,'Values and minus percentages'!$C$6:$C$62,0))</f>
        <v>-3.2809917355371905</v>
      </c>
      <c r="M32" s="15">
        <f>-INDEX('Values and minus percentages'!$G$6:$G$62,MATCH('Wholesale tariffs - multiplay'!M33,'Values and minus percentages'!$C$6:$C$62,0))-INDEX('Values and minus percentages'!$G$6:$G$62,MATCH('Wholesale tariffs - multiplay'!M34,'Values and minus percentages'!$C$6:$C$62,0))</f>
        <v>-3.2809917355371905</v>
      </c>
      <c r="N32" s="15">
        <f>-INDEX('Values and minus percentages'!$G$6:$G$62,MATCH('Wholesale tariffs - multiplay'!N33,'Values and minus percentages'!$C$6:$C$62,0))-INDEX('Values and minus percentages'!$G$6:$G$62,MATCH('Wholesale tariffs - multiplay'!N34,'Values and minus percentages'!$C$6:$C$62,0))</f>
        <v>-3.2809917355371905</v>
      </c>
      <c r="O32" s="15">
        <f>-INDEX('Values and minus percentages'!$G$6:$G$62,MATCH('Wholesale tariffs - multiplay'!O33,'Values and minus percentages'!$C$6:$C$62,0))-INDEX('Values and minus percentages'!$G$6:$G$62,MATCH('Wholesale tariffs - multiplay'!O34,'Values and minus percentages'!$C$6:$C$62,0))</f>
        <v>-3.2809917355371905</v>
      </c>
      <c r="P32" s="15">
        <f>-INDEX('Values and minus percentages'!$G$6:$G$62,MATCH('Wholesale tariffs - multiplay'!P33,'Values and minus percentages'!$C$6:$C$62,0))-INDEX('Values and minus percentages'!$G$6:$G$62,MATCH('Wholesale tariffs - multiplay'!P34,'Values and minus percentages'!$C$6:$C$62,0))</f>
        <v>-3.2809917355371905</v>
      </c>
      <c r="Q32" s="15">
        <f>-INDEX('Values and minus percentages'!$G$6:$G$62,MATCH('Wholesale tariffs - multiplay'!Q33,'Values and minus percentages'!$C$6:$C$62,0))-INDEX('Values and minus percentages'!$G$6:$G$62,MATCH('Wholesale tariffs - multiplay'!Q34,'Values and minus percentages'!$C$6:$C$62,0))</f>
        <v>-3.2809917355371905</v>
      </c>
      <c r="R32" s="15">
        <f>-INDEX('Values and minus percentages'!$G$6:$G$62,MATCH('Wholesale tariffs - multiplay'!R33,'Values and minus percentages'!$C$6:$C$62,0))-INDEX('Values and minus percentages'!$G$6:$G$62,MATCH('Wholesale tariffs - multiplay'!R34,'Values and minus percentages'!$C$6:$C$62,0))</f>
        <v>-3.2809917355371905</v>
      </c>
      <c r="S32" s="15"/>
      <c r="T32" s="15">
        <f>-INDEX('Values and minus percentages'!$G$6:$G$62,MATCH('Wholesale tariffs - multiplay'!T33,'Values and minus percentages'!$C$6:$C$62,0))-INDEX('Values and minus percentages'!$G$6:$G$62,MATCH('Wholesale tariffs - multiplay'!T34,'Values and minus percentages'!$C$6:$C$62,0))</f>
        <v>-3.2809917355371905</v>
      </c>
      <c r="U32" s="15">
        <f>-INDEX('Values and minus percentages'!$G$6:$G$62,MATCH('Wholesale tariffs - multiplay'!U33,'Values and minus percentages'!$C$6:$C$62,0))-INDEX('Values and minus percentages'!$G$6:$G$62,MATCH('Wholesale tariffs - multiplay'!U34,'Values and minus percentages'!$C$6:$C$62,0))</f>
        <v>-3.2809917355371905</v>
      </c>
      <c r="V32" s="15">
        <f>-INDEX('Values and minus percentages'!$G$6:$G$62,MATCH('Wholesale tariffs - multiplay'!V33,'Values and minus percentages'!$C$6:$C$62,0))-INDEX('Values and minus percentages'!$G$6:$G$62,MATCH('Wholesale tariffs - multiplay'!V34,'Values and minus percentages'!$C$6:$C$62,0))</f>
        <v>-3.2809917355371905</v>
      </c>
      <c r="W32" s="15">
        <f>-INDEX('Values and minus percentages'!$G$6:$G$62,MATCH('Wholesale tariffs - multiplay'!W33,'Values and minus percentages'!$C$6:$C$62,0))-INDEX('Values and minus percentages'!$G$6:$G$62,MATCH('Wholesale tariffs - multiplay'!W34,'Values and minus percentages'!$C$6:$C$62,0))</f>
        <v>-3.2809917355371905</v>
      </c>
      <c r="X32" s="15">
        <f>-INDEX('Values and minus percentages'!$G$6:$G$62,MATCH('Wholesale tariffs - multiplay'!X33,'Values and minus percentages'!$C$6:$C$62,0))-INDEX('Values and minus percentages'!$G$6:$G$62,MATCH('Wholesale tariffs - multiplay'!X34,'Values and minus percentages'!$C$6:$C$62,0))</f>
        <v>-3.2809917355371905</v>
      </c>
      <c r="Y32" s="15">
        <f>-INDEX('Values and minus percentages'!$G$6:$G$62,MATCH('Wholesale tariffs - multiplay'!Y33,'Values and minus percentages'!$C$6:$C$62,0))-INDEX('Values and minus percentages'!$G$6:$G$62,MATCH('Wholesale tariffs - multiplay'!Y34,'Values and minus percentages'!$C$6:$C$62,0))</f>
        <v>-3.2809917355371905</v>
      </c>
      <c r="Z32" s="15">
        <f>-INDEX('Values and minus percentages'!$G$6:$G$62,MATCH('Wholesale tariffs - multiplay'!Z33,'Values and minus percentages'!$C$6:$C$62,0))-INDEX('Values and minus percentages'!$G$6:$G$62,MATCH('Wholesale tariffs - multiplay'!Z34,'Values and minus percentages'!$C$6:$C$62,0))</f>
        <v>-3.2809917355371905</v>
      </c>
      <c r="AA32" s="15">
        <f>-INDEX('Values and minus percentages'!$G$6:$G$62,MATCH('Wholesale tariffs - multiplay'!AA33,'Values and minus percentages'!$C$6:$C$62,0))-INDEX('Values and minus percentages'!$G$6:$G$62,MATCH('Wholesale tariffs - multiplay'!AA34,'Values and minus percentages'!$C$6:$C$62,0))</f>
        <v>-3.2809917355371905</v>
      </c>
      <c r="AB32" s="15">
        <f>-INDEX('Values and minus percentages'!$G$6:$G$62,MATCH('Wholesale tariffs - multiplay'!AB33,'Values and minus percentages'!$C$6:$C$62,0))-INDEX('Values and minus percentages'!$G$6:$G$62,MATCH('Wholesale tariffs - multiplay'!AB34,'Values and minus percentages'!$C$6:$C$62,0))</f>
        <v>-3.2809917355371905</v>
      </c>
      <c r="AC32" s="15">
        <f>-INDEX('Values and minus percentages'!$G$6:$G$62,MATCH('Wholesale tariffs - multiplay'!AC33,'Values and minus percentages'!$C$6:$C$62,0))-INDEX('Values and minus percentages'!$G$6:$G$62,MATCH('Wholesale tariffs - multiplay'!AC34,'Values and minus percentages'!$C$6:$C$62,0))</f>
        <v>-3.2809917355371905</v>
      </c>
      <c r="AD32" s="15"/>
      <c r="AE32" s="15">
        <f>-INDEX('Values and minus percentages'!$G$6:$G$62,MATCH('Wholesale tariffs - multiplay'!AE33,'Values and minus percentages'!$C$6:$C$62,0))-INDEX('Values and minus percentages'!$G$6:$G$62,MATCH('Wholesale tariffs - multiplay'!AE34,'Values and minus percentages'!$C$6:$C$62,0))</f>
        <v>-4.5454545454545459</v>
      </c>
      <c r="AF32" s="15">
        <f>-INDEX('Values and minus percentages'!$G$6:$G$62,MATCH('Wholesale tariffs - multiplay'!AF33,'Values and minus percentages'!$C$6:$C$62,0))-INDEX('Values and minus percentages'!$G$6:$G$62,MATCH('Wholesale tariffs - multiplay'!AF34,'Values and minus percentages'!$C$6:$C$62,0))</f>
        <v>-4.5454545454545459</v>
      </c>
      <c r="AG32" s="15">
        <f>-INDEX('Values and minus percentages'!$G$6:$G$62,MATCH('Wholesale tariffs - multiplay'!AG33,'Values and minus percentages'!$C$6:$C$62,0))-INDEX('Values and minus percentages'!$G$6:$G$62,MATCH('Wholesale tariffs - multiplay'!AG34,'Values and minus percentages'!$C$6:$C$62,0))</f>
        <v>-4.5454545454545459</v>
      </c>
    </row>
    <row r="33" spans="1:33" s="41" customFormat="1" outlineLevel="1" x14ac:dyDescent="0.2">
      <c r="C33" s="108" t="s">
        <v>261</v>
      </c>
      <c r="E33" s="94" t="s">
        <v>187</v>
      </c>
      <c r="F33" s="94" t="s">
        <v>187</v>
      </c>
      <c r="G33" s="94" t="s">
        <v>187</v>
      </c>
      <c r="I33" s="94" t="s">
        <v>201</v>
      </c>
      <c r="J33" s="94" t="s">
        <v>201</v>
      </c>
      <c r="K33" s="94" t="s">
        <v>201</v>
      </c>
      <c r="L33" s="94" t="s">
        <v>201</v>
      </c>
      <c r="M33" s="94" t="s">
        <v>201</v>
      </c>
      <c r="N33" s="94" t="s">
        <v>201</v>
      </c>
      <c r="O33" s="94" t="s">
        <v>201</v>
      </c>
      <c r="P33" s="94" t="s">
        <v>201</v>
      </c>
      <c r="Q33" s="94" t="s">
        <v>201</v>
      </c>
      <c r="R33" s="94" t="s">
        <v>201</v>
      </c>
      <c r="T33" s="94" t="s">
        <v>202</v>
      </c>
      <c r="U33" s="94" t="s">
        <v>202</v>
      </c>
      <c r="V33" s="94" t="s">
        <v>202</v>
      </c>
      <c r="W33" s="94" t="s">
        <v>202</v>
      </c>
      <c r="X33" s="94" t="s">
        <v>202</v>
      </c>
      <c r="Y33" s="94" t="s">
        <v>202</v>
      </c>
      <c r="Z33" s="94" t="s">
        <v>202</v>
      </c>
      <c r="AA33" s="94" t="s">
        <v>202</v>
      </c>
      <c r="AB33" s="94" t="s">
        <v>202</v>
      </c>
      <c r="AC33" s="94" t="s">
        <v>202</v>
      </c>
      <c r="AE33" s="94" t="s">
        <v>186</v>
      </c>
      <c r="AF33" s="94" t="s">
        <v>186</v>
      </c>
      <c r="AG33" s="94" t="s">
        <v>186</v>
      </c>
    </row>
    <row r="34" spans="1:33" s="41" customFormat="1" outlineLevel="1" x14ac:dyDescent="0.2">
      <c r="C34" s="108" t="s">
        <v>261</v>
      </c>
      <c r="E34" s="94" t="s">
        <v>133</v>
      </c>
      <c r="F34" s="94" t="s">
        <v>133</v>
      </c>
      <c r="G34" s="94" t="s">
        <v>133</v>
      </c>
      <c r="I34" s="94" t="s">
        <v>198</v>
      </c>
      <c r="J34" s="94" t="s">
        <v>198</v>
      </c>
      <c r="K34" s="94" t="s">
        <v>198</v>
      </c>
      <c r="L34" s="94" t="s">
        <v>198</v>
      </c>
      <c r="M34" s="94" t="s">
        <v>198</v>
      </c>
      <c r="N34" s="94" t="s">
        <v>198</v>
      </c>
      <c r="O34" s="94" t="s">
        <v>198</v>
      </c>
      <c r="P34" s="94" t="s">
        <v>198</v>
      </c>
      <c r="Q34" s="94" t="s">
        <v>198</v>
      </c>
      <c r="R34" s="94" t="s">
        <v>198</v>
      </c>
      <c r="T34" s="94" t="s">
        <v>199</v>
      </c>
      <c r="U34" s="94" t="s">
        <v>199</v>
      </c>
      <c r="V34" s="94" t="s">
        <v>199</v>
      </c>
      <c r="W34" s="94" t="s">
        <v>199</v>
      </c>
      <c r="X34" s="94" t="s">
        <v>199</v>
      </c>
      <c r="Y34" s="94" t="s">
        <v>199</v>
      </c>
      <c r="Z34" s="94" t="s">
        <v>199</v>
      </c>
      <c r="AA34" s="94" t="s">
        <v>199</v>
      </c>
      <c r="AB34" s="94" t="s">
        <v>199</v>
      </c>
      <c r="AC34" s="94" t="s">
        <v>199</v>
      </c>
      <c r="AE34" s="94" t="s">
        <v>197</v>
      </c>
      <c r="AF34" s="94" t="s">
        <v>197</v>
      </c>
      <c r="AG34" s="94" t="s">
        <v>197</v>
      </c>
    </row>
    <row r="35" spans="1:33" x14ac:dyDescent="0.2">
      <c r="A35" s="41"/>
      <c r="C35" s="41" t="s">
        <v>262</v>
      </c>
      <c r="D35" s="41"/>
      <c r="E35" s="83">
        <f>E28+E30+E32</f>
        <v>36.758264462809919</v>
      </c>
      <c r="F35" s="83">
        <f>F28+F30+F32</f>
        <v>47.026859504132226</v>
      </c>
      <c r="G35" s="83">
        <f>G28+G30+G32</f>
        <v>55.663223140495859</v>
      </c>
      <c r="I35" s="83">
        <f t="shared" ref="I35:R35" si="13">I28+I30+I32</f>
        <v>26.057851239669418</v>
      </c>
      <c r="J35" s="83">
        <f t="shared" si="13"/>
        <v>34.322314049586772</v>
      </c>
      <c r="K35" s="83">
        <f t="shared" si="13"/>
        <v>42.586776859504127</v>
      </c>
      <c r="L35" s="83">
        <f t="shared" si="13"/>
        <v>50.851239669421481</v>
      </c>
      <c r="M35" s="83">
        <f t="shared" si="13"/>
        <v>67.380165289256198</v>
      </c>
      <c r="N35" s="83">
        <f t="shared" si="13"/>
        <v>32.669421487603302</v>
      </c>
      <c r="O35" s="83">
        <f t="shared" si="13"/>
        <v>40.933884297520656</v>
      </c>
      <c r="P35" s="83">
        <f t="shared" si="13"/>
        <v>49.198347107438018</v>
      </c>
      <c r="Q35" s="83">
        <f t="shared" si="13"/>
        <v>57.462809917355372</v>
      </c>
      <c r="R35" s="83">
        <f t="shared" si="13"/>
        <v>73.991735537190095</v>
      </c>
      <c r="S35" s="15"/>
      <c r="T35" s="83">
        <f t="shared" ref="T35:AC35" si="14">T28+T30+T32</f>
        <v>26.057851239669418</v>
      </c>
      <c r="U35" s="83">
        <f t="shared" si="14"/>
        <v>34.322314049586772</v>
      </c>
      <c r="V35" s="83">
        <f t="shared" si="14"/>
        <v>42.586776859504127</v>
      </c>
      <c r="W35" s="83">
        <f t="shared" si="14"/>
        <v>50.851239669421481</v>
      </c>
      <c r="X35" s="83">
        <f t="shared" si="14"/>
        <v>67.380165289256198</v>
      </c>
      <c r="Y35" s="83">
        <f t="shared" si="14"/>
        <v>32.669421487603302</v>
      </c>
      <c r="Z35" s="83">
        <f t="shared" si="14"/>
        <v>40.933884297520656</v>
      </c>
      <c r="AA35" s="83">
        <f t="shared" si="14"/>
        <v>49.198347107438018</v>
      </c>
      <c r="AB35" s="83">
        <f t="shared" si="14"/>
        <v>57.462809917355372</v>
      </c>
      <c r="AC35" s="83">
        <f t="shared" si="14"/>
        <v>73.991735537190095</v>
      </c>
      <c r="AD35" s="15"/>
      <c r="AE35" s="83">
        <f>AE28+AE30+AE32</f>
        <v>28.429752066115697</v>
      </c>
      <c r="AF35" s="83">
        <f>AF28+AF30+AF32</f>
        <v>36.694214876033058</v>
      </c>
      <c r="AG35" s="83">
        <f>AG28+AG30+AG32</f>
        <v>44.95867768595042</v>
      </c>
    </row>
    <row r="37" spans="1:33" x14ac:dyDescent="0.2">
      <c r="C37" s="59" t="s">
        <v>250</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9" spans="1:33" x14ac:dyDescent="0.2">
      <c r="C39" s="78" t="s">
        <v>263</v>
      </c>
    </row>
    <row r="40" spans="1:33" outlineLevel="1" x14ac:dyDescent="0.2">
      <c r="A40" s="41"/>
      <c r="C40" s="95" t="s">
        <v>264</v>
      </c>
      <c r="E40" s="15">
        <f>INDEX('Values and minus percentages'!$G$6:$G$62,MATCH('Wholesale tariffs - multiplay'!E8,'Values and minus percentages'!$C$6:$C$62,0))</f>
        <v>9.9173553719008272</v>
      </c>
      <c r="F40" s="15">
        <f>INDEX('Values and minus percentages'!$G$6:$G$62,MATCH('Wholesale tariffs - multiplay'!F8,'Values and minus percentages'!$C$6:$C$62,0))</f>
        <v>9.9173553719008272</v>
      </c>
      <c r="G40" s="15">
        <f>INDEX('Values and minus percentages'!$G$6:$G$62,MATCH('Wholesale tariffs - multiplay'!G8,'Values and minus percentages'!$C$6:$C$62,0))</f>
        <v>9.9173553719008272</v>
      </c>
      <c r="H40" s="15"/>
      <c r="I40" s="15">
        <f>INDEX('Values and minus percentages'!$G$6:$G$62,MATCH('Wholesale tariffs - multiplay'!I8,'Values and minus percentages'!$C$6:$C$62,0))</f>
        <v>11.181818181818182</v>
      </c>
      <c r="J40" s="15">
        <f>INDEX('Values and minus percentages'!$G$6:$G$62,MATCH('Wholesale tariffs - multiplay'!J8,'Values and minus percentages'!$C$6:$C$62,0))</f>
        <v>11.181818181818182</v>
      </c>
      <c r="K40" s="15">
        <f>INDEX('Values and minus percentages'!$G$6:$G$62,MATCH('Wholesale tariffs - multiplay'!K8,'Values and minus percentages'!$C$6:$C$62,0))</f>
        <v>11.181818181818182</v>
      </c>
      <c r="L40" s="15">
        <f>INDEX('Values and minus percentages'!$G$6:$G$62,MATCH('Wholesale tariffs - multiplay'!L8,'Values and minus percentages'!$C$6:$C$62,0))</f>
        <v>11.181818181818182</v>
      </c>
      <c r="M40" s="15">
        <f>INDEX('Values and minus percentages'!$G$6:$G$62,MATCH('Wholesale tariffs - multiplay'!M8,'Values and minus percentages'!$C$6:$C$62,0))</f>
        <v>11.181818181818182</v>
      </c>
      <c r="N40" s="15">
        <f>INDEX('Values and minus percentages'!$G$6:$G$62,MATCH('Wholesale tariffs - multiplay'!N8,'Values and minus percentages'!$C$6:$C$62,0))</f>
        <v>11.181818181818182</v>
      </c>
      <c r="O40" s="15">
        <f>INDEX('Values and minus percentages'!$G$6:$G$62,MATCH('Wholesale tariffs - multiplay'!O8,'Values and minus percentages'!$C$6:$C$62,0))</f>
        <v>11.181818181818182</v>
      </c>
      <c r="P40" s="15">
        <f>INDEX('Values and minus percentages'!$G$6:$G$62,MATCH('Wholesale tariffs - multiplay'!P8,'Values and minus percentages'!$C$6:$C$62,0))</f>
        <v>11.181818181818182</v>
      </c>
      <c r="Q40" s="15">
        <f>INDEX('Values and minus percentages'!$G$6:$G$62,MATCH('Wholesale tariffs - multiplay'!Q8,'Values and minus percentages'!$C$6:$C$62,0))</f>
        <v>11.181818181818182</v>
      </c>
      <c r="R40" s="15">
        <f>INDEX('Values and minus percentages'!$G$6:$G$62,MATCH('Wholesale tariffs - multiplay'!R8,'Values and minus percentages'!$C$6:$C$62,0))</f>
        <v>11.181818181818182</v>
      </c>
      <c r="S40" s="15"/>
      <c r="T40" s="15">
        <f>INDEX('Values and minus percentages'!$G$6:$G$62,MATCH('Wholesale tariffs - multiplay'!T8,'Values and minus percentages'!$C$6:$C$62,0))</f>
        <v>11.181818181818182</v>
      </c>
      <c r="U40" s="15">
        <f>INDEX('Values and minus percentages'!$G$6:$G$62,MATCH('Wholesale tariffs - multiplay'!U8,'Values and minus percentages'!$C$6:$C$62,0))</f>
        <v>11.181818181818182</v>
      </c>
      <c r="V40" s="15">
        <f>INDEX('Values and minus percentages'!$G$6:$G$62,MATCH('Wholesale tariffs - multiplay'!V8,'Values and minus percentages'!$C$6:$C$62,0))</f>
        <v>11.181818181818182</v>
      </c>
      <c r="W40" s="15">
        <f>INDEX('Values and minus percentages'!$G$6:$G$62,MATCH('Wholesale tariffs - multiplay'!W8,'Values and minus percentages'!$C$6:$C$62,0))</f>
        <v>11.181818181818182</v>
      </c>
      <c r="X40" s="15">
        <f>INDEX('Values and minus percentages'!$G$6:$G$62,MATCH('Wholesale tariffs - multiplay'!X8,'Values and minus percentages'!$C$6:$C$62,0))</f>
        <v>11.181818181818182</v>
      </c>
      <c r="Y40" s="15">
        <f>INDEX('Values and minus percentages'!$G$6:$G$62,MATCH('Wholesale tariffs - multiplay'!Y8,'Values and minus percentages'!$C$6:$C$62,0))</f>
        <v>11.181818181818182</v>
      </c>
      <c r="Z40" s="15">
        <f>INDEX('Values and minus percentages'!$G$6:$G$62,MATCH('Wholesale tariffs - multiplay'!Z8,'Values and minus percentages'!$C$6:$C$62,0))</f>
        <v>11.181818181818182</v>
      </c>
      <c r="AA40" s="15">
        <f>INDEX('Values and minus percentages'!$G$6:$G$62,MATCH('Wholesale tariffs - multiplay'!AA8,'Values and minus percentages'!$C$6:$C$62,0))</f>
        <v>11.181818181818182</v>
      </c>
      <c r="AB40" s="15">
        <f>INDEX('Values and minus percentages'!$G$6:$G$62,MATCH('Wholesale tariffs - multiplay'!AB8,'Values and minus percentages'!$C$6:$C$62,0))</f>
        <v>11.181818181818182</v>
      </c>
      <c r="AC40" s="15">
        <f>INDEX('Values and minus percentages'!$G$6:$G$62,MATCH('Wholesale tariffs - multiplay'!AC8,'Values and minus percentages'!$C$6:$C$62,0))</f>
        <v>11.181818181818182</v>
      </c>
      <c r="AD40" s="15"/>
      <c r="AE40" s="15">
        <f>INDEX('Values and minus percentages'!$G$6:$G$62,MATCH('Wholesale tariffs - multiplay'!AE8,'Values and minus percentages'!$C$6:$C$62,0))</f>
        <v>15.53719008264463</v>
      </c>
      <c r="AF40" s="15">
        <f>INDEX('Values and minus percentages'!$G$6:$G$62,MATCH('Wholesale tariffs - multiplay'!AF8,'Values and minus percentages'!$C$6:$C$62,0))</f>
        <v>15.53719008264463</v>
      </c>
      <c r="AG40" s="15">
        <f>INDEX('Values and minus percentages'!$G$6:$G$62,MATCH('Wholesale tariffs - multiplay'!AG8,'Values and minus percentages'!$C$6:$C$62,0))</f>
        <v>15.53719008264463</v>
      </c>
    </row>
    <row r="41" spans="1:33" outlineLevel="1" x14ac:dyDescent="0.2">
      <c r="C41" s="95" t="s">
        <v>148</v>
      </c>
      <c r="E41" s="15">
        <f>INDEX('Values and minus percentages'!$G$6:$G$62,MATCH('Wholesale tariffs - multiplay'!E9,'Values and minus percentages'!$C$6:$C$62,0))</f>
        <v>22.305785123966942</v>
      </c>
      <c r="F41" s="15">
        <f>INDEX('Values and minus percentages'!$G$6:$G$62,MATCH('Wholesale tariffs - multiplay'!F9,'Values and minus percentages'!$C$6:$C$62,0))</f>
        <v>40.81818181818182</v>
      </c>
      <c r="G41" s="15">
        <f>INDEX('Values and minus percentages'!$G$6:$G$62,MATCH('Wholesale tariffs - multiplay'!G9,'Values and minus percentages'!$C$6:$C$62,0))</f>
        <v>58.504132231404967</v>
      </c>
      <c r="H41" s="15"/>
      <c r="I41" s="15">
        <f>INDEX('Values and minus percentages'!$G$6:$G$62,MATCH('Wholesale tariffs - multiplay'!I9,'Values and minus percentages'!$C$6:$C$62,0))</f>
        <v>20.619834710743802</v>
      </c>
      <c r="J41" s="15">
        <f>INDEX('Values and minus percentages'!$G$6:$G$62,MATCH('Wholesale tariffs - multiplay'!J9,'Values and minus percentages'!$C$6:$C$62,0))</f>
        <v>29.710743801652896</v>
      </c>
      <c r="K41" s="15">
        <f>INDEX('Values and minus percentages'!$G$6:$G$62,MATCH('Wholesale tariffs - multiplay'!K9,'Values and minus percentages'!$C$6:$C$62,0))</f>
        <v>37.97520661157025</v>
      </c>
      <c r="L41" s="15">
        <f>INDEX('Values and minus percentages'!$G$6:$G$62,MATCH('Wholesale tariffs - multiplay'!L9,'Values and minus percentages'!$C$6:$C$62,0))</f>
        <v>47.066115702479344</v>
      </c>
      <c r="M41" s="15">
        <f>INDEX('Values and minus percentages'!$G$6:$G$62,MATCH('Wholesale tariffs - multiplay'!M9,'Values and minus percentages'!$C$6:$C$62,0))</f>
        <v>63.595041322314053</v>
      </c>
      <c r="N41" s="15">
        <f>INDEX('Values and minus percentages'!$G$6:$G$62,MATCH('Wholesale tariffs - multiplay'!N9,'Values and minus percentages'!$C$6:$C$62,0))</f>
        <v>20.619834710743802</v>
      </c>
      <c r="O41" s="15">
        <f>INDEX('Values and minus percentages'!$G$6:$G$62,MATCH('Wholesale tariffs - multiplay'!O9,'Values and minus percentages'!$C$6:$C$62,0))</f>
        <v>29.710743801652896</v>
      </c>
      <c r="P41" s="15">
        <f>INDEX('Values and minus percentages'!$G$6:$G$62,MATCH('Wholesale tariffs - multiplay'!P9,'Values and minus percentages'!$C$6:$C$62,0))</f>
        <v>37.97520661157025</v>
      </c>
      <c r="Q41" s="15">
        <f>INDEX('Values and minus percentages'!$G$6:$G$62,MATCH('Wholesale tariffs - multiplay'!Q9,'Values and minus percentages'!$C$6:$C$62,0))</f>
        <v>47.066115702479344</v>
      </c>
      <c r="R41" s="15">
        <f>INDEX('Values and minus percentages'!$G$6:$G$62,MATCH('Wholesale tariffs - multiplay'!R9,'Values and minus percentages'!$C$6:$C$62,0))</f>
        <v>63.595041322314053</v>
      </c>
      <c r="S41" s="15"/>
      <c r="T41" s="15">
        <f>INDEX('Values and minus percentages'!$G$6:$G$62,MATCH('Wholesale tariffs - multiplay'!T9,'Values and minus percentages'!$C$6:$C$62,0))</f>
        <v>20.619834710743802</v>
      </c>
      <c r="U41" s="15">
        <f>INDEX('Values and minus percentages'!$G$6:$G$62,MATCH('Wholesale tariffs - multiplay'!U9,'Values and minus percentages'!$C$6:$C$62,0))</f>
        <v>29.710743801652896</v>
      </c>
      <c r="V41" s="15">
        <f>INDEX('Values and minus percentages'!$G$6:$G$62,MATCH('Wholesale tariffs - multiplay'!V9,'Values and minus percentages'!$C$6:$C$62,0))</f>
        <v>37.97520661157025</v>
      </c>
      <c r="W41" s="15">
        <f>INDEX('Values and minus percentages'!$G$6:$G$62,MATCH('Wholesale tariffs - multiplay'!W9,'Values and minus percentages'!$C$6:$C$62,0))</f>
        <v>47.066115702479344</v>
      </c>
      <c r="X41" s="15">
        <f>INDEX('Values and minus percentages'!$G$6:$G$62,MATCH('Wholesale tariffs - multiplay'!X9,'Values and minus percentages'!$C$6:$C$62,0))</f>
        <v>63.595041322314053</v>
      </c>
      <c r="Y41" s="15">
        <f>INDEX('Values and minus percentages'!$G$6:$G$62,MATCH('Wholesale tariffs - multiplay'!Y9,'Values and minus percentages'!$C$6:$C$62,0))</f>
        <v>20.619834710743802</v>
      </c>
      <c r="Z41" s="15">
        <f>INDEX('Values and minus percentages'!$G$6:$G$62,MATCH('Wholesale tariffs - multiplay'!Z9,'Values and minus percentages'!$C$6:$C$62,0))</f>
        <v>29.710743801652896</v>
      </c>
      <c r="AA41" s="15">
        <f>INDEX('Values and minus percentages'!$G$6:$G$62,MATCH('Wholesale tariffs - multiplay'!AA9,'Values and minus percentages'!$C$6:$C$62,0))</f>
        <v>37.97520661157025</v>
      </c>
      <c r="AB41" s="15">
        <f>INDEX('Values and minus percentages'!$G$6:$G$62,MATCH('Wholesale tariffs - multiplay'!AB9,'Values and minus percentages'!$C$6:$C$62,0))</f>
        <v>47.066115702479344</v>
      </c>
      <c r="AC41" s="15">
        <f>INDEX('Values and minus percentages'!$G$6:$G$62,MATCH('Wholesale tariffs - multiplay'!AC9,'Values and minus percentages'!$C$6:$C$62,0))</f>
        <v>63.595041322314053</v>
      </c>
      <c r="AD41" s="15"/>
      <c r="AE41" s="15">
        <f>INDEX('Values and minus percentages'!$G$6:$G$62,MATCH('Wholesale tariffs - multiplay'!AE9,'Values and minus percentages'!$C$6:$C$62,0))</f>
        <v>26.363636363636363</v>
      </c>
      <c r="AF41" s="15">
        <f>INDEX('Values and minus percentages'!$G$6:$G$62,MATCH('Wholesale tariffs - multiplay'!AF9,'Values and minus percentages'!$C$6:$C$62,0))</f>
        <v>42.892561983471076</v>
      </c>
      <c r="AG41" s="15">
        <f>INDEX('Values and minus percentages'!$G$6:$G$62,MATCH('Wholesale tariffs - multiplay'!AG9,'Values and minus percentages'!$C$6:$C$62,0))</f>
        <v>51.15702479338843</v>
      </c>
    </row>
    <row r="42" spans="1:33" outlineLevel="1" x14ac:dyDescent="0.2">
      <c r="C42" s="95" t="s">
        <v>245</v>
      </c>
      <c r="E42" s="15">
        <f>INDEX('Values and minus percentages'!$G$6:$G$62,MATCH('Wholesale tariffs - multiplay'!E10,'Values and minus percentages'!$C$6:$C$62,0))</f>
        <v>5.6714876033057848</v>
      </c>
      <c r="F42" s="15">
        <f>INDEX('Values and minus percentages'!$G$6:$G$62,MATCH('Wholesale tariffs - multiplay'!F10,'Values and minus percentages'!$C$6:$C$62,0))</f>
        <v>5.6714876033057848</v>
      </c>
      <c r="G42" s="15">
        <f>INDEX('Values and minus percentages'!$G$6:$G$62,MATCH('Wholesale tariffs - multiplay'!G10,'Values and minus percentages'!$C$6:$C$62,0))</f>
        <v>5.6714876033057848</v>
      </c>
      <c r="H42" s="15"/>
      <c r="I42" s="15">
        <f>INDEX('Values and minus percentages'!$G$6:$G$62,MATCH('Wholesale tariffs - multiplay'!I10,'Values and minus percentages'!$C$6:$C$62,0))</f>
        <v>0</v>
      </c>
      <c r="J42" s="15">
        <f>INDEX('Values and minus percentages'!$G$6:$G$62,MATCH('Wholesale tariffs - multiplay'!J10,'Values and minus percentages'!$C$6:$C$62,0))</f>
        <v>0</v>
      </c>
      <c r="K42" s="15">
        <f>INDEX('Values and minus percentages'!$G$6:$G$62,MATCH('Wholesale tariffs - multiplay'!K10,'Values and minus percentages'!$C$6:$C$62,0))</f>
        <v>2.0454545454545454</v>
      </c>
      <c r="L42" s="15">
        <f>INDEX('Values and minus percentages'!$G$6:$G$62,MATCH('Wholesale tariffs - multiplay'!L10,'Values and minus percentages'!$C$6:$C$62,0))</f>
        <v>2.0454545454545454</v>
      </c>
      <c r="M42" s="15">
        <f>INDEX('Values and minus percentages'!$G$6:$G$62,MATCH('Wholesale tariffs - multiplay'!M10,'Values and minus percentages'!$C$6:$C$62,0))</f>
        <v>2.0454545454545454</v>
      </c>
      <c r="N42" s="15">
        <f>INDEX('Values and minus percentages'!$G$6:$G$62,MATCH('Wholesale tariffs - multiplay'!N10,'Values and minus percentages'!$C$6:$C$62,0))</f>
        <v>0</v>
      </c>
      <c r="O42" s="15">
        <f>INDEX('Values and minus percentages'!$G$6:$G$62,MATCH('Wholesale tariffs - multiplay'!O10,'Values and minus percentages'!$C$6:$C$62,0))</f>
        <v>0</v>
      </c>
      <c r="P42" s="15">
        <f>INDEX('Values and minus percentages'!$G$6:$G$62,MATCH('Wholesale tariffs - multiplay'!P10,'Values and minus percentages'!$C$6:$C$62,0))</f>
        <v>2.0454545454545454</v>
      </c>
      <c r="Q42" s="15">
        <f>INDEX('Values and minus percentages'!$G$6:$G$62,MATCH('Wholesale tariffs - multiplay'!Q10,'Values and minus percentages'!$C$6:$C$62,0))</f>
        <v>2.0454545454545454</v>
      </c>
      <c r="R42" s="15">
        <f>INDEX('Values and minus percentages'!$G$6:$G$62,MATCH('Wholesale tariffs - multiplay'!R10,'Values and minus percentages'!$C$6:$C$62,0))</f>
        <v>2.0454545454545454</v>
      </c>
      <c r="S42" s="15"/>
      <c r="T42" s="15">
        <f>INDEX('Values and minus percentages'!$G$6:$G$62,MATCH('Wholesale tariffs - multiplay'!T10,'Values and minus percentages'!$C$6:$C$62,0))</f>
        <v>0</v>
      </c>
      <c r="U42" s="15">
        <f>INDEX('Values and minus percentages'!$G$6:$G$62,MATCH('Wholesale tariffs - multiplay'!U10,'Values and minus percentages'!$C$6:$C$62,0))</f>
        <v>0</v>
      </c>
      <c r="V42" s="15">
        <f>INDEX('Values and minus percentages'!$G$6:$G$62,MATCH('Wholesale tariffs - multiplay'!V10,'Values and minus percentages'!$C$6:$C$62,0))</f>
        <v>2.0454545454545454</v>
      </c>
      <c r="W42" s="15">
        <f>INDEX('Values and minus percentages'!$G$6:$G$62,MATCH('Wholesale tariffs - multiplay'!W10,'Values and minus percentages'!$C$6:$C$62,0))</f>
        <v>2.0454545454545454</v>
      </c>
      <c r="X42" s="15">
        <f>INDEX('Values and minus percentages'!$G$6:$G$62,MATCH('Wholesale tariffs - multiplay'!X10,'Values and minus percentages'!$C$6:$C$62,0))</f>
        <v>2.0454545454545454</v>
      </c>
      <c r="Y42" s="15">
        <f>INDEX('Values and minus percentages'!$G$6:$G$62,MATCH('Wholesale tariffs - multiplay'!Y10,'Values and minus percentages'!$C$6:$C$62,0))</f>
        <v>0</v>
      </c>
      <c r="Z42" s="15">
        <f>INDEX('Values and minus percentages'!$G$6:$G$62,MATCH('Wholesale tariffs - multiplay'!Z10,'Values and minus percentages'!$C$6:$C$62,0))</f>
        <v>0</v>
      </c>
      <c r="AA42" s="15">
        <f>INDEX('Values and minus percentages'!$G$6:$G$62,MATCH('Wholesale tariffs - multiplay'!AA10,'Values and minus percentages'!$C$6:$C$62,0))</f>
        <v>2.0454545454545454</v>
      </c>
      <c r="AB42" s="15">
        <f>INDEX('Values and minus percentages'!$G$6:$G$62,MATCH('Wholesale tariffs - multiplay'!AB10,'Values and minus percentages'!$C$6:$C$62,0))</f>
        <v>2.0454545454545454</v>
      </c>
      <c r="AC42" s="15">
        <f>INDEX('Values and minus percentages'!$G$6:$G$62,MATCH('Wholesale tariffs - multiplay'!AC10,'Values and minus percentages'!$C$6:$C$62,0))</f>
        <v>2.0454545454545454</v>
      </c>
      <c r="AD42" s="15"/>
      <c r="AE42" s="15">
        <f>INDEX('Values and minus percentages'!$G$6:$G$62,MATCH('Wholesale tariffs - multiplay'!AE10,'Values and minus percentages'!$C$6:$C$62,0))</f>
        <v>0</v>
      </c>
      <c r="AF42" s="15">
        <f>INDEX('Values and minus percentages'!$G$6:$G$62,MATCH('Wholesale tariffs - multiplay'!AF10,'Values and minus percentages'!$C$6:$C$62,0))</f>
        <v>0</v>
      </c>
      <c r="AG42" s="15">
        <f>INDEX('Values and minus percentages'!$G$6:$G$62,MATCH('Wholesale tariffs - multiplay'!AG10,'Values and minus percentages'!$C$6:$C$62,0))</f>
        <v>1.0743801652892562</v>
      </c>
    </row>
    <row r="43" spans="1:33" outlineLevel="1" x14ac:dyDescent="0.2">
      <c r="C43" s="95" t="s">
        <v>246</v>
      </c>
      <c r="E43" s="15">
        <f>INDEX('Values and minus percentages'!$G$6:$G$62,MATCH('Wholesale tariffs - multiplay'!E11,'Values and minus percentages'!$C$6:$C$62,0))</f>
        <v>0</v>
      </c>
      <c r="F43" s="15">
        <f>INDEX('Values and minus percentages'!$G$6:$G$62,MATCH('Wholesale tariffs - multiplay'!F11,'Values and minus percentages'!$C$6:$C$62,0))</f>
        <v>0</v>
      </c>
      <c r="G43" s="15">
        <f>INDEX('Values and minus percentages'!$G$6:$G$62,MATCH('Wholesale tariffs - multiplay'!G11,'Values and minus percentages'!$C$6:$C$62,0))</f>
        <v>0</v>
      </c>
      <c r="H43" s="15"/>
      <c r="I43" s="15">
        <f>INDEX('Values and minus percentages'!$G$6:$G$62,MATCH('Wholesale tariffs - multiplay'!I11,'Values and minus percentages'!$C$6:$C$62,0))</f>
        <v>0</v>
      </c>
      <c r="J43" s="15">
        <f>INDEX('Values and minus percentages'!$G$6:$G$62,MATCH('Wholesale tariffs - multiplay'!J11,'Values and minus percentages'!$C$6:$C$62,0))</f>
        <v>0</v>
      </c>
      <c r="K43" s="15">
        <f>INDEX('Values and minus percentages'!$G$6:$G$62,MATCH('Wholesale tariffs - multiplay'!K11,'Values and minus percentages'!$C$6:$C$62,0))</f>
        <v>0</v>
      </c>
      <c r="L43" s="15">
        <f>INDEX('Values and minus percentages'!$G$6:$G$62,MATCH('Wholesale tariffs - multiplay'!L11,'Values and minus percentages'!$C$6:$C$62,0))</f>
        <v>0</v>
      </c>
      <c r="M43" s="15">
        <f>INDEX('Values and minus percentages'!$G$6:$G$62,MATCH('Wholesale tariffs - multiplay'!M11,'Values and minus percentages'!$C$6:$C$62,0))</f>
        <v>0</v>
      </c>
      <c r="N43" s="15">
        <f>INDEX('Values and minus percentages'!$G$6:$G$62,MATCH('Wholesale tariffs - multiplay'!N11,'Values and minus percentages'!$C$6:$C$62,0))</f>
        <v>0</v>
      </c>
      <c r="O43" s="15">
        <f>INDEX('Values and minus percentages'!$G$6:$G$62,MATCH('Wholesale tariffs - multiplay'!O11,'Values and minus percentages'!$C$6:$C$62,0))</f>
        <v>0</v>
      </c>
      <c r="P43" s="15">
        <f>INDEX('Values and minus percentages'!$G$6:$G$62,MATCH('Wholesale tariffs - multiplay'!P11,'Values and minus percentages'!$C$6:$C$62,0))</f>
        <v>0</v>
      </c>
      <c r="Q43" s="15">
        <f>INDEX('Values and minus percentages'!$G$6:$G$62,MATCH('Wholesale tariffs - multiplay'!Q11,'Values and minus percentages'!$C$6:$C$62,0))</f>
        <v>0</v>
      </c>
      <c r="R43" s="15">
        <f>INDEX('Values and minus percentages'!$G$6:$G$62,MATCH('Wholesale tariffs - multiplay'!R11,'Values and minus percentages'!$C$6:$C$62,0))</f>
        <v>0</v>
      </c>
      <c r="S43" s="15"/>
      <c r="T43" s="15">
        <f>INDEX('Values and minus percentages'!$G$6:$G$62,MATCH('Wholesale tariffs - multiplay'!T11,'Values and minus percentages'!$C$6:$C$62,0))</f>
        <v>0</v>
      </c>
      <c r="U43" s="15">
        <f>INDEX('Values and minus percentages'!$G$6:$G$62,MATCH('Wholesale tariffs - multiplay'!U11,'Values and minus percentages'!$C$6:$C$62,0))</f>
        <v>0</v>
      </c>
      <c r="V43" s="15">
        <f>INDEX('Values and minus percentages'!$G$6:$G$62,MATCH('Wholesale tariffs - multiplay'!V11,'Values and minus percentages'!$C$6:$C$62,0))</f>
        <v>0</v>
      </c>
      <c r="W43" s="15">
        <f>INDEX('Values and minus percentages'!$G$6:$G$62,MATCH('Wholesale tariffs - multiplay'!W11,'Values and minus percentages'!$C$6:$C$62,0))</f>
        <v>0</v>
      </c>
      <c r="X43" s="15">
        <f>INDEX('Values and minus percentages'!$G$6:$G$62,MATCH('Wholesale tariffs - multiplay'!X11,'Values and minus percentages'!$C$6:$C$62,0))</f>
        <v>0</v>
      </c>
      <c r="Y43" s="15">
        <f>INDEX('Values and minus percentages'!$G$6:$G$62,MATCH('Wholesale tariffs - multiplay'!Y11,'Values and minus percentages'!$C$6:$C$62,0))</f>
        <v>0</v>
      </c>
      <c r="Z43" s="15">
        <f>INDEX('Values and minus percentages'!$G$6:$G$62,MATCH('Wholesale tariffs - multiplay'!Z11,'Values and minus percentages'!$C$6:$C$62,0))</f>
        <v>0</v>
      </c>
      <c r="AA43" s="15">
        <f>INDEX('Values and minus percentages'!$G$6:$G$62,MATCH('Wholesale tariffs - multiplay'!AA11,'Values and minus percentages'!$C$6:$C$62,0))</f>
        <v>0</v>
      </c>
      <c r="AB43" s="15">
        <f>INDEX('Values and minus percentages'!$G$6:$G$62,MATCH('Wholesale tariffs - multiplay'!AB11,'Values and minus percentages'!$C$6:$C$62,0))</f>
        <v>0</v>
      </c>
      <c r="AC43" s="15">
        <f>INDEX('Values and minus percentages'!$G$6:$G$62,MATCH('Wholesale tariffs - multiplay'!AC11,'Values and minus percentages'!$C$6:$C$62,0))</f>
        <v>0</v>
      </c>
      <c r="AD43" s="15"/>
      <c r="AE43" s="15">
        <f>INDEX('Values and minus percentages'!$G$6:$G$62,MATCH('Wholesale tariffs - multiplay'!AE11,'Values and minus percentages'!$C$6:$C$62,0))</f>
        <v>0</v>
      </c>
      <c r="AF43" s="15">
        <f>INDEX('Values and minus percentages'!$G$6:$G$62,MATCH('Wholesale tariffs - multiplay'!AF11,'Values and minus percentages'!$C$6:$C$62,0))</f>
        <v>0</v>
      </c>
      <c r="AG43" s="15">
        <f>INDEX('Values and minus percentages'!$G$6:$G$62,MATCH('Wholesale tariffs - multiplay'!AG11,'Values and minus percentages'!$C$6:$C$62,0))</f>
        <v>0</v>
      </c>
    </row>
    <row r="44" spans="1:33" outlineLevel="1" x14ac:dyDescent="0.2">
      <c r="C44" s="95" t="s">
        <v>247</v>
      </c>
      <c r="E44" s="15">
        <f>INDEX('Values and minus percentages'!$G$6:$G$62,MATCH('Wholesale tariffs - multiplay'!E12,'Values and minus percentages'!$C$6:$C$62,0))</f>
        <v>4.1322314049586781</v>
      </c>
      <c r="F44" s="15">
        <f>INDEX('Values and minus percentages'!$G$6:$G$62,MATCH('Wholesale tariffs - multiplay'!F12,'Values and minus percentages'!$C$6:$C$62,0))</f>
        <v>4.1322314049586781</v>
      </c>
      <c r="G44" s="15">
        <f>INDEX('Values and minus percentages'!$G$6:$G$62,MATCH('Wholesale tariffs - multiplay'!G12,'Values and minus percentages'!$C$6:$C$62,0))</f>
        <v>4.1322314049586781</v>
      </c>
      <c r="H44" s="15"/>
      <c r="I44" s="15">
        <f>INDEX('Values and minus percentages'!$G$6:$G$62,MATCH('Wholesale tariffs - multiplay'!I12,'Values and minus percentages'!$C$6:$C$62,0))</f>
        <v>4.1322314049586781</v>
      </c>
      <c r="J44" s="15">
        <f>INDEX('Values and minus percentages'!$G$6:$G$62,MATCH('Wholesale tariffs - multiplay'!J12,'Values and minus percentages'!$C$6:$C$62,0))</f>
        <v>4.1322314049586781</v>
      </c>
      <c r="K44" s="15">
        <f>INDEX('Values and minus percentages'!$G$6:$G$62,MATCH('Wholesale tariffs - multiplay'!K12,'Values and minus percentages'!$C$6:$C$62,0))</f>
        <v>4.1322314049586781</v>
      </c>
      <c r="L44" s="15">
        <f>INDEX('Values and minus percentages'!$G$6:$G$62,MATCH('Wholesale tariffs - multiplay'!L12,'Values and minus percentages'!$C$6:$C$62,0))</f>
        <v>4.1322314049586781</v>
      </c>
      <c r="M44" s="15">
        <f>INDEX('Values and minus percentages'!$G$6:$G$62,MATCH('Wholesale tariffs - multiplay'!M12,'Values and minus percentages'!$C$6:$C$62,0))</f>
        <v>4.1322314049586781</v>
      </c>
      <c r="N44" s="15">
        <f>INDEX('Values and minus percentages'!$G$6:$G$62,MATCH('Wholesale tariffs - multiplay'!N12,'Values and minus percentages'!$C$6:$C$62,0))</f>
        <v>4.1322314049586781</v>
      </c>
      <c r="O44" s="15">
        <f>INDEX('Values and minus percentages'!$G$6:$G$62,MATCH('Wholesale tariffs - multiplay'!O12,'Values and minus percentages'!$C$6:$C$62,0))</f>
        <v>4.1322314049586781</v>
      </c>
      <c r="P44" s="15">
        <f>INDEX('Values and minus percentages'!$G$6:$G$62,MATCH('Wholesale tariffs - multiplay'!P12,'Values and minus percentages'!$C$6:$C$62,0))</f>
        <v>4.1322314049586781</v>
      </c>
      <c r="Q44" s="15">
        <f>INDEX('Values and minus percentages'!$G$6:$G$62,MATCH('Wholesale tariffs - multiplay'!Q12,'Values and minus percentages'!$C$6:$C$62,0))</f>
        <v>4.1322314049586781</v>
      </c>
      <c r="R44" s="15">
        <f>INDEX('Values and minus percentages'!$G$6:$G$62,MATCH('Wholesale tariffs - multiplay'!R12,'Values and minus percentages'!$C$6:$C$62,0))</f>
        <v>4.1322314049586781</v>
      </c>
      <c r="S44" s="15"/>
      <c r="T44" s="15">
        <f>INDEX('Values and minus percentages'!$G$6:$G$62,MATCH('Wholesale tariffs - multiplay'!T12,'Values and minus percentages'!$C$6:$C$62,0))</f>
        <v>4.1322314049586781</v>
      </c>
      <c r="U44" s="15">
        <f>INDEX('Values and minus percentages'!$G$6:$G$62,MATCH('Wholesale tariffs - multiplay'!U12,'Values and minus percentages'!$C$6:$C$62,0))</f>
        <v>4.1322314049586781</v>
      </c>
      <c r="V44" s="15">
        <f>INDEX('Values and minus percentages'!$G$6:$G$62,MATCH('Wholesale tariffs - multiplay'!V12,'Values and minus percentages'!$C$6:$C$62,0))</f>
        <v>4.1322314049586781</v>
      </c>
      <c r="W44" s="15">
        <f>INDEX('Values and minus percentages'!$G$6:$G$62,MATCH('Wholesale tariffs - multiplay'!W12,'Values and minus percentages'!$C$6:$C$62,0))</f>
        <v>4.1322314049586781</v>
      </c>
      <c r="X44" s="15">
        <f>INDEX('Values and minus percentages'!$G$6:$G$62,MATCH('Wholesale tariffs - multiplay'!X12,'Values and minus percentages'!$C$6:$C$62,0))</f>
        <v>4.1322314049586781</v>
      </c>
      <c r="Y44" s="15">
        <f>INDEX('Values and minus percentages'!$G$6:$G$62,MATCH('Wholesale tariffs - multiplay'!Y12,'Values and minus percentages'!$C$6:$C$62,0))</f>
        <v>4.1322314049586781</v>
      </c>
      <c r="Z44" s="15">
        <f>INDEX('Values and minus percentages'!$G$6:$G$62,MATCH('Wholesale tariffs - multiplay'!Z12,'Values and minus percentages'!$C$6:$C$62,0))</f>
        <v>4.1322314049586781</v>
      </c>
      <c r="AA44" s="15">
        <f>INDEX('Values and minus percentages'!$G$6:$G$62,MATCH('Wholesale tariffs - multiplay'!AA12,'Values and minus percentages'!$C$6:$C$62,0))</f>
        <v>4.1322314049586781</v>
      </c>
      <c r="AB44" s="15">
        <f>INDEX('Values and minus percentages'!$G$6:$G$62,MATCH('Wholesale tariffs - multiplay'!AB12,'Values and minus percentages'!$C$6:$C$62,0))</f>
        <v>4.1322314049586781</v>
      </c>
      <c r="AC44" s="15">
        <f>INDEX('Values and minus percentages'!$G$6:$G$62,MATCH('Wholesale tariffs - multiplay'!AC12,'Values and minus percentages'!$C$6:$C$62,0))</f>
        <v>4.1322314049586781</v>
      </c>
      <c r="AD44" s="15"/>
      <c r="AE44" s="15">
        <f>INDEX('Values and minus percentages'!$G$6:$G$62,MATCH('Wholesale tariffs - multiplay'!AE12,'Values and minus percentages'!$C$6:$C$62,0))</f>
        <v>4.1322314049586781</v>
      </c>
      <c r="AF44" s="15">
        <f>INDEX('Values and minus percentages'!$G$6:$G$62,MATCH('Wholesale tariffs - multiplay'!AF12,'Values and minus percentages'!$C$6:$C$62,0))</f>
        <v>4.1322314049586781</v>
      </c>
      <c r="AG44" s="15">
        <f>INDEX('Values and minus percentages'!$G$6:$G$62,MATCH('Wholesale tariffs - multiplay'!AG12,'Values and minus percentages'!$C$6:$C$62,0))</f>
        <v>4.1322314049586781</v>
      </c>
    </row>
    <row r="45" spans="1:33" outlineLevel="1" x14ac:dyDescent="0.2">
      <c r="C45" s="95" t="s">
        <v>229</v>
      </c>
      <c r="E45" s="15">
        <f>INDEX('Values and minus percentages'!$G$6:$G$62,MATCH('Wholesale tariffs - multiplay'!E13,'Values and minus percentages'!$C$6:$C$62,0))</f>
        <v>0</v>
      </c>
      <c r="F45" s="15">
        <f>INDEX('Values and minus percentages'!$G$6:$G$62,MATCH('Wholesale tariffs - multiplay'!F13,'Values and minus percentages'!$C$6:$C$62,0))</f>
        <v>0</v>
      </c>
      <c r="G45" s="15">
        <f>INDEX('Values and minus percentages'!$G$6:$G$62,MATCH('Wholesale tariffs - multiplay'!G13,'Values and minus percentages'!$C$6:$C$62,0))</f>
        <v>0</v>
      </c>
      <c r="H45" s="15"/>
      <c r="I45" s="15">
        <f>INDEX('Values and minus percentages'!$G$6:$G$62,MATCH('Wholesale tariffs - multiplay'!I13,'Values and minus percentages'!$C$6:$C$62,0))</f>
        <v>0</v>
      </c>
      <c r="J45" s="15">
        <f>INDEX('Values and minus percentages'!$G$6:$G$62,MATCH('Wholesale tariffs - multiplay'!J13,'Values and minus percentages'!$C$6:$C$62,0))</f>
        <v>0</v>
      </c>
      <c r="K45" s="15">
        <f>INDEX('Values and minus percentages'!$G$6:$G$62,MATCH('Wholesale tariffs - multiplay'!K13,'Values and minus percentages'!$C$6:$C$62,0))</f>
        <v>0</v>
      </c>
      <c r="L45" s="15">
        <f>INDEX('Values and minus percentages'!$G$6:$G$62,MATCH('Wholesale tariffs - multiplay'!L13,'Values and minus percentages'!$C$6:$C$62,0))</f>
        <v>0</v>
      </c>
      <c r="M45" s="15">
        <f>INDEX('Values and minus percentages'!$G$6:$G$62,MATCH('Wholesale tariffs - multiplay'!M13,'Values and minus percentages'!$C$6:$C$62,0))</f>
        <v>0</v>
      </c>
      <c r="N45" s="15">
        <f>INDEX('Values and minus percentages'!$G$6:$G$62,MATCH('Wholesale tariffs - multiplay'!N13,'Values and minus percentages'!$C$6:$C$62,0))</f>
        <v>0</v>
      </c>
      <c r="O45" s="15">
        <f>INDEX('Values and minus percentages'!$G$6:$G$62,MATCH('Wholesale tariffs - multiplay'!O13,'Values and minus percentages'!$C$6:$C$62,0))</f>
        <v>0</v>
      </c>
      <c r="P45" s="15">
        <f>INDEX('Values and minus percentages'!$G$6:$G$62,MATCH('Wholesale tariffs - multiplay'!P13,'Values and minus percentages'!$C$6:$C$62,0))</f>
        <v>0</v>
      </c>
      <c r="Q45" s="15">
        <f>INDEX('Values and minus percentages'!$G$6:$G$62,MATCH('Wholesale tariffs - multiplay'!Q13,'Values and minus percentages'!$C$6:$C$62,0))</f>
        <v>0</v>
      </c>
      <c r="R45" s="15">
        <f>INDEX('Values and minus percentages'!$G$6:$G$62,MATCH('Wholesale tariffs - multiplay'!R13,'Values and minus percentages'!$C$6:$C$62,0))</f>
        <v>0</v>
      </c>
      <c r="S45" s="15"/>
      <c r="T45" s="15">
        <f>INDEX('Values and minus percentages'!$G$6:$G$62,MATCH('Wholesale tariffs - multiplay'!T13,'Values and minus percentages'!$C$6:$C$62,0))</f>
        <v>0</v>
      </c>
      <c r="U45" s="15">
        <f>INDEX('Values and minus percentages'!$G$6:$G$62,MATCH('Wholesale tariffs - multiplay'!U13,'Values and minus percentages'!$C$6:$C$62,0))</f>
        <v>0</v>
      </c>
      <c r="V45" s="15">
        <f>INDEX('Values and minus percentages'!$G$6:$G$62,MATCH('Wholesale tariffs - multiplay'!V13,'Values and minus percentages'!$C$6:$C$62,0))</f>
        <v>0</v>
      </c>
      <c r="W45" s="15">
        <f>INDEX('Values and minus percentages'!$G$6:$G$62,MATCH('Wholesale tariffs - multiplay'!W13,'Values and minus percentages'!$C$6:$C$62,0))</f>
        <v>0</v>
      </c>
      <c r="X45" s="15">
        <f>INDEX('Values and minus percentages'!$G$6:$G$62,MATCH('Wholesale tariffs - multiplay'!X13,'Values and minus percentages'!$C$6:$C$62,0))</f>
        <v>0</v>
      </c>
      <c r="Y45" s="15">
        <f>INDEX('Values and minus percentages'!$G$6:$G$62,MATCH('Wholesale tariffs - multiplay'!Y13,'Values and minus percentages'!$C$6:$C$62,0))</f>
        <v>0</v>
      </c>
      <c r="Z45" s="15">
        <f>INDEX('Values and minus percentages'!$G$6:$G$62,MATCH('Wholesale tariffs - multiplay'!Z13,'Values and minus percentages'!$C$6:$C$62,0))</f>
        <v>0</v>
      </c>
      <c r="AA45" s="15">
        <f>INDEX('Values and minus percentages'!$G$6:$G$62,MATCH('Wholesale tariffs - multiplay'!AA13,'Values and minus percentages'!$C$6:$C$62,0))</f>
        <v>0</v>
      </c>
      <c r="AB45" s="15">
        <f>INDEX('Values and minus percentages'!$G$6:$G$62,MATCH('Wholesale tariffs - multiplay'!AB13,'Values and minus percentages'!$C$6:$C$62,0))</f>
        <v>0</v>
      </c>
      <c r="AC45" s="15">
        <f>INDEX('Values and minus percentages'!$G$6:$G$62,MATCH('Wholesale tariffs - multiplay'!AC13,'Values and minus percentages'!$C$6:$C$62,0))</f>
        <v>0</v>
      </c>
      <c r="AD45" s="15"/>
      <c r="AE45" s="15">
        <f>INDEX('Values and minus percentages'!$G$6:$G$62,MATCH('Wholesale tariffs - multiplay'!AE13,'Values and minus percentages'!$C$6:$C$62,0))</f>
        <v>0</v>
      </c>
      <c r="AF45" s="15">
        <f>INDEX('Values and minus percentages'!$G$6:$G$62,MATCH('Wholesale tariffs - multiplay'!AF13,'Values and minus percentages'!$C$6:$C$62,0))</f>
        <v>0</v>
      </c>
      <c r="AG45" s="15">
        <f>INDEX('Values and minus percentages'!$G$6:$G$62,MATCH('Wholesale tariffs - multiplay'!AG13,'Values and minus percentages'!$C$6:$C$62,0))</f>
        <v>0</v>
      </c>
    </row>
    <row r="46" spans="1:33" outlineLevel="1" x14ac:dyDescent="0.2">
      <c r="C46" s="95" t="s">
        <v>248</v>
      </c>
      <c r="E46" s="15">
        <f>INDEX('Values and minus percentages'!$G$6:$G$62,MATCH('Wholesale tariffs - multiplay'!E14,'Values and minus percentages'!$C$6:$C$62,0))</f>
        <v>0</v>
      </c>
      <c r="F46" s="15">
        <f>INDEX('Values and minus percentages'!$G$6:$G$62,MATCH('Wholesale tariffs - multiplay'!F14,'Values and minus percentages'!$C$6:$C$62,0))</f>
        <v>17.93388429752066</v>
      </c>
      <c r="G46" s="15">
        <f>INDEX('Values and minus percentages'!$G$6:$G$62,MATCH('Wholesale tariffs - multiplay'!G14,'Values and minus percentages'!$C$6:$C$62,0))</f>
        <v>17.93388429752066</v>
      </c>
      <c r="H46" s="15"/>
      <c r="I46" s="15">
        <f>INDEX('Values and minus percentages'!$G$6:$G$62,MATCH('Wholesale tariffs - multiplay'!I14,'Values and minus percentages'!$C$6:$C$62,0))</f>
        <v>0</v>
      </c>
      <c r="J46" s="15">
        <f>INDEX('Values and minus percentages'!$G$6:$G$62,MATCH('Wholesale tariffs - multiplay'!J14,'Values and minus percentages'!$C$6:$C$62,0))</f>
        <v>0</v>
      </c>
      <c r="K46" s="15">
        <f>INDEX('Values and minus percentages'!$G$6:$G$62,MATCH('Wholesale tariffs - multiplay'!K14,'Values and minus percentages'!$C$6:$C$62,0))</f>
        <v>0</v>
      </c>
      <c r="L46" s="15">
        <f>INDEX('Values and minus percentages'!$G$6:$G$62,MATCH('Wholesale tariffs - multiplay'!L14,'Values and minus percentages'!$C$6:$C$62,0))</f>
        <v>0</v>
      </c>
      <c r="M46" s="15">
        <f>INDEX('Values and minus percentages'!$G$6:$G$62,MATCH('Wholesale tariffs - multiplay'!M14,'Values and minus percentages'!$C$6:$C$62,0))</f>
        <v>0</v>
      </c>
      <c r="N46" s="15">
        <f>INDEX('Values and minus percentages'!$G$6:$G$62,MATCH('Wholesale tariffs - multiplay'!N14,'Values and minus percentages'!$C$6:$C$62,0))</f>
        <v>7.3966942148760326</v>
      </c>
      <c r="O46" s="15">
        <f>INDEX('Values and minus percentages'!$G$6:$G$62,MATCH('Wholesale tariffs - multiplay'!O14,'Values and minus percentages'!$C$6:$C$62,0))</f>
        <v>7.3966942148760326</v>
      </c>
      <c r="P46" s="15">
        <f>INDEX('Values and minus percentages'!$G$6:$G$62,MATCH('Wholesale tariffs - multiplay'!P14,'Values and minus percentages'!$C$6:$C$62,0))</f>
        <v>15.661157024793388</v>
      </c>
      <c r="Q46" s="15">
        <f>INDEX('Values and minus percentages'!$G$6:$G$62,MATCH('Wholesale tariffs - multiplay'!Q14,'Values and minus percentages'!$C$6:$C$62,0))</f>
        <v>15.661157024793388</v>
      </c>
      <c r="R46" s="15">
        <f>INDEX('Values and minus percentages'!$G$6:$G$62,MATCH('Wholesale tariffs - multiplay'!R14,'Values and minus percentages'!$C$6:$C$62,0))</f>
        <v>15.661157024793388</v>
      </c>
      <c r="S46" s="15"/>
      <c r="T46" s="15">
        <f>INDEX('Values and minus percentages'!$G$6:$G$62,MATCH('Wholesale tariffs - multiplay'!T14,'Values and minus percentages'!$C$6:$C$62,0))</f>
        <v>0</v>
      </c>
      <c r="U46" s="15">
        <f>INDEX('Values and minus percentages'!$G$6:$G$62,MATCH('Wholesale tariffs - multiplay'!U14,'Values and minus percentages'!$C$6:$C$62,0))</f>
        <v>0</v>
      </c>
      <c r="V46" s="15">
        <f>INDEX('Values and minus percentages'!$G$6:$G$62,MATCH('Wholesale tariffs - multiplay'!V14,'Values and minus percentages'!$C$6:$C$62,0))</f>
        <v>0</v>
      </c>
      <c r="W46" s="15">
        <f>INDEX('Values and minus percentages'!$G$6:$G$62,MATCH('Wholesale tariffs - multiplay'!W14,'Values and minus percentages'!$C$6:$C$62,0))</f>
        <v>0</v>
      </c>
      <c r="X46" s="15">
        <f>INDEX('Values and minus percentages'!$G$6:$G$62,MATCH('Wholesale tariffs - multiplay'!X14,'Values and minus percentages'!$C$6:$C$62,0))</f>
        <v>0</v>
      </c>
      <c r="Y46" s="15">
        <f>INDEX('Values and minus percentages'!$G$6:$G$62,MATCH('Wholesale tariffs - multiplay'!Y14,'Values and minus percentages'!$C$6:$C$62,0))</f>
        <v>7.3966942148760326</v>
      </c>
      <c r="Z46" s="15">
        <f>INDEX('Values and minus percentages'!$G$6:$G$62,MATCH('Wholesale tariffs - multiplay'!Z14,'Values and minus percentages'!$C$6:$C$62,0))</f>
        <v>7.3966942148760326</v>
      </c>
      <c r="AA46" s="15">
        <f>INDEX('Values and minus percentages'!$G$6:$G$62,MATCH('Wholesale tariffs - multiplay'!AA14,'Values and minus percentages'!$C$6:$C$62,0))</f>
        <v>15.661157024793388</v>
      </c>
      <c r="AB46" s="15">
        <f>INDEX('Values and minus percentages'!$G$6:$G$62,MATCH('Wholesale tariffs - multiplay'!AB14,'Values and minus percentages'!$C$6:$C$62,0))</f>
        <v>15.661157024793388</v>
      </c>
      <c r="AC46" s="15">
        <f>INDEX('Values and minus percentages'!$G$6:$G$62,MATCH('Wholesale tariffs - multiplay'!AC14,'Values and minus percentages'!$C$6:$C$62,0))</f>
        <v>15.661157024793388</v>
      </c>
      <c r="AD46" s="15"/>
      <c r="AE46" s="15">
        <f>INDEX('Values and minus percentages'!$G$6:$G$62,MATCH('Wholesale tariffs - multiplay'!AE14,'Values and minus percentages'!$C$6:$C$62,0))</f>
        <v>10.991735537190083</v>
      </c>
      <c r="AF46" s="15">
        <f>INDEX('Values and minus percentages'!$G$6:$G$62,MATCH('Wholesale tariffs - multiplay'!AF14,'Values and minus percentages'!$C$6:$C$62,0))</f>
        <v>16.942148760330578</v>
      </c>
      <c r="AG46" s="15">
        <f>INDEX('Values and minus percentages'!$G$6:$G$62,MATCH('Wholesale tariffs - multiplay'!AG14,'Values and minus percentages'!$C$6:$C$62,0))</f>
        <v>16.942148760330578</v>
      </c>
    </row>
    <row r="47" spans="1:33" outlineLevel="1" x14ac:dyDescent="0.2">
      <c r="C47" s="95" t="s">
        <v>249</v>
      </c>
      <c r="E47" s="15">
        <f>INDEX('Values and minus percentages'!$G$6:$G$62,MATCH('Wholesale tariffs - multiplay'!E15,'Values and minus percentages'!$C$6:$C$62,0))</f>
        <v>0</v>
      </c>
      <c r="F47" s="15">
        <f>INDEX('Values and minus percentages'!$G$6:$G$62,MATCH('Wholesale tariffs - multiplay'!F15,'Values and minus percentages'!$C$6:$C$62,0))</f>
        <v>0</v>
      </c>
      <c r="G47" s="15">
        <f>INDEX('Values and minus percentages'!$G$6:$G$62,MATCH('Wholesale tariffs - multiplay'!G15,'Values and minus percentages'!$C$6:$C$62,0))</f>
        <v>0</v>
      </c>
      <c r="H47" s="15"/>
      <c r="I47" s="15">
        <f>INDEX('Values and minus percentages'!$G$6:$G$62,MATCH('Wholesale tariffs - multiplay'!I15,'Values and minus percentages'!$C$6:$C$62,0))</f>
        <v>0</v>
      </c>
      <c r="J47" s="15">
        <f>INDEX('Values and minus percentages'!$G$6:$G$62,MATCH('Wholesale tariffs - multiplay'!J15,'Values and minus percentages'!$C$6:$C$62,0))</f>
        <v>0</v>
      </c>
      <c r="K47" s="15">
        <f>INDEX('Values and minus percentages'!$G$6:$G$62,MATCH('Wholesale tariffs - multiplay'!K15,'Values and minus percentages'!$C$6:$C$62,0))</f>
        <v>0</v>
      </c>
      <c r="L47" s="15">
        <f>INDEX('Values and minus percentages'!$G$6:$G$62,MATCH('Wholesale tariffs - multiplay'!L15,'Values and minus percentages'!$C$6:$C$62,0))</f>
        <v>0</v>
      </c>
      <c r="M47" s="15">
        <f>INDEX('Values and minus percentages'!$G$6:$G$62,MATCH('Wholesale tariffs - multiplay'!M15,'Values and minus percentages'!$C$6:$C$62,0))</f>
        <v>0</v>
      </c>
      <c r="N47" s="15">
        <f>INDEX('Values and minus percentages'!$G$6:$G$62,MATCH('Wholesale tariffs - multiplay'!N15,'Values and minus percentages'!$C$6:$C$62,0))</f>
        <v>0</v>
      </c>
      <c r="O47" s="15">
        <f>INDEX('Values and minus percentages'!$G$6:$G$62,MATCH('Wholesale tariffs - multiplay'!O15,'Values and minus percentages'!$C$6:$C$62,0))</f>
        <v>0</v>
      </c>
      <c r="P47" s="15">
        <f>INDEX('Values and minus percentages'!$G$6:$G$62,MATCH('Wholesale tariffs - multiplay'!P15,'Values and minus percentages'!$C$6:$C$62,0))</f>
        <v>0</v>
      </c>
      <c r="Q47" s="15">
        <f>INDEX('Values and minus percentages'!$G$6:$G$62,MATCH('Wholesale tariffs - multiplay'!Q15,'Values and minus percentages'!$C$6:$C$62,0))</f>
        <v>0</v>
      </c>
      <c r="R47" s="15">
        <f>INDEX('Values and minus percentages'!$G$6:$G$62,MATCH('Wholesale tariffs - multiplay'!R15,'Values and minus percentages'!$C$6:$C$62,0))</f>
        <v>0</v>
      </c>
      <c r="S47" s="15"/>
      <c r="T47" s="15">
        <f>INDEX('Values and minus percentages'!$G$6:$G$62,MATCH('Wholesale tariffs - multiplay'!T15,'Values and minus percentages'!$C$6:$C$62,0))</f>
        <v>0</v>
      </c>
      <c r="U47" s="15">
        <f>INDEX('Values and minus percentages'!$G$6:$G$62,MATCH('Wholesale tariffs - multiplay'!U15,'Values and minus percentages'!$C$6:$C$62,0))</f>
        <v>0</v>
      </c>
      <c r="V47" s="15">
        <f>INDEX('Values and minus percentages'!$G$6:$G$62,MATCH('Wholesale tariffs - multiplay'!V15,'Values and minus percentages'!$C$6:$C$62,0))</f>
        <v>0</v>
      </c>
      <c r="W47" s="15">
        <f>INDEX('Values and minus percentages'!$G$6:$G$62,MATCH('Wholesale tariffs - multiplay'!W15,'Values and minus percentages'!$C$6:$C$62,0))</f>
        <v>0</v>
      </c>
      <c r="X47" s="15">
        <f>INDEX('Values and minus percentages'!$G$6:$G$62,MATCH('Wholesale tariffs - multiplay'!X15,'Values and minus percentages'!$C$6:$C$62,0))</f>
        <v>0</v>
      </c>
      <c r="Y47" s="15">
        <f>INDEX('Values and minus percentages'!$G$6:$G$62,MATCH('Wholesale tariffs - multiplay'!Y15,'Values and minus percentages'!$C$6:$C$62,0))</f>
        <v>0</v>
      </c>
      <c r="Z47" s="15">
        <f>INDEX('Values and minus percentages'!$G$6:$G$62,MATCH('Wholesale tariffs - multiplay'!Z15,'Values and minus percentages'!$C$6:$C$62,0))</f>
        <v>0</v>
      </c>
      <c r="AA47" s="15">
        <f>INDEX('Values and minus percentages'!$G$6:$G$62,MATCH('Wholesale tariffs - multiplay'!AA15,'Values and minus percentages'!$C$6:$C$62,0))</f>
        <v>0</v>
      </c>
      <c r="AB47" s="15">
        <f>INDEX('Values and minus percentages'!$G$6:$G$62,MATCH('Wholesale tariffs - multiplay'!AB15,'Values and minus percentages'!$C$6:$C$62,0))</f>
        <v>0</v>
      </c>
      <c r="AC47" s="15">
        <f>INDEX('Values and minus percentages'!$G$6:$G$62,MATCH('Wholesale tariffs - multiplay'!AC15,'Values and minus percentages'!$C$6:$C$62,0))</f>
        <v>0</v>
      </c>
      <c r="AD47" s="15"/>
      <c r="AE47" s="15">
        <f>INDEX('Values and minus percentages'!$G$6:$G$62,MATCH('Wholesale tariffs - multiplay'!AE15,'Values and minus percentages'!$C$6:$C$62,0))</f>
        <v>0</v>
      </c>
      <c r="AF47" s="15">
        <f>INDEX('Values and minus percentages'!$G$6:$G$62,MATCH('Wholesale tariffs - multiplay'!AF15,'Values and minus percentages'!$C$6:$C$62,0))</f>
        <v>0</v>
      </c>
      <c r="AG47" s="15">
        <f>INDEX('Values and minus percentages'!$G$6:$G$62,MATCH('Wholesale tariffs - multiplay'!AG15,'Values and minus percentages'!$C$6:$C$62,0))</f>
        <v>10.330578512396695</v>
      </c>
    </row>
    <row r="48" spans="1:33" x14ac:dyDescent="0.2">
      <c r="A48" s="41"/>
      <c r="C48" s="78" t="s">
        <v>91</v>
      </c>
      <c r="E48" s="83">
        <f>SUM(E40:E47)</f>
        <v>42.026859504132233</v>
      </c>
      <c r="F48" s="83">
        <f t="shared" ref="F48:G48" si="15">SUM(F40:F47)</f>
        <v>78.473140495867767</v>
      </c>
      <c r="G48" s="83">
        <f t="shared" si="15"/>
        <v>96.159090909090921</v>
      </c>
      <c r="H48" s="83"/>
      <c r="I48" s="83">
        <f t="shared" ref="I48" si="16">SUM(I40:I47)</f>
        <v>35.933884297520663</v>
      </c>
      <c r="J48" s="83">
        <f t="shared" ref="J48" si="17">SUM(J40:J47)</f>
        <v>45.024793388429757</v>
      </c>
      <c r="K48" s="83">
        <f t="shared" ref="K48" si="18">SUM(K40:K47)</f>
        <v>55.334710743801658</v>
      </c>
      <c r="L48" s="83">
        <f t="shared" ref="L48" si="19">SUM(L40:L47)</f>
        <v>64.425619834710744</v>
      </c>
      <c r="M48" s="83">
        <f t="shared" ref="M48" si="20">SUM(M40:M47)</f>
        <v>80.954545454545453</v>
      </c>
      <c r="N48" s="83">
        <f t="shared" ref="N48" si="21">SUM(N40:N47)</f>
        <v>43.330578512396698</v>
      </c>
      <c r="O48" s="83">
        <f t="shared" ref="O48" si="22">SUM(O40:O47)</f>
        <v>52.421487603305792</v>
      </c>
      <c r="P48" s="83">
        <f t="shared" ref="P48" si="23">SUM(P40:P47)</f>
        <v>70.995867768595048</v>
      </c>
      <c r="Q48" s="83">
        <f t="shared" ref="Q48" si="24">SUM(Q40:Q47)</f>
        <v>80.086776859504127</v>
      </c>
      <c r="R48" s="83">
        <f t="shared" ref="R48" si="25">SUM(R40:R47)</f>
        <v>96.615702479338836</v>
      </c>
      <c r="S48" s="83"/>
      <c r="T48" s="83">
        <f t="shared" ref="T48" si="26">SUM(T40:T47)</f>
        <v>35.933884297520663</v>
      </c>
      <c r="U48" s="83">
        <f t="shared" ref="U48" si="27">SUM(U40:U47)</f>
        <v>45.024793388429757</v>
      </c>
      <c r="V48" s="83">
        <f t="shared" ref="V48" si="28">SUM(V40:V47)</f>
        <v>55.334710743801658</v>
      </c>
      <c r="W48" s="83">
        <f t="shared" ref="W48" si="29">SUM(W40:W47)</f>
        <v>64.425619834710744</v>
      </c>
      <c r="X48" s="83">
        <f t="shared" ref="X48" si="30">SUM(X40:X47)</f>
        <v>80.954545454545453</v>
      </c>
      <c r="Y48" s="83">
        <f t="shared" ref="Y48" si="31">SUM(Y40:Y47)</f>
        <v>43.330578512396698</v>
      </c>
      <c r="Z48" s="83">
        <f t="shared" ref="Z48" si="32">SUM(Z40:Z47)</f>
        <v>52.421487603305792</v>
      </c>
      <c r="AA48" s="83">
        <f t="shared" ref="AA48" si="33">SUM(AA40:AA47)</f>
        <v>70.995867768595048</v>
      </c>
      <c r="AB48" s="83">
        <f t="shared" ref="AB48" si="34">SUM(AB40:AB47)</f>
        <v>80.086776859504127</v>
      </c>
      <c r="AC48" s="83">
        <f t="shared" ref="AC48" si="35">SUM(AC40:AC47)</f>
        <v>96.615702479338836</v>
      </c>
      <c r="AD48" s="83"/>
      <c r="AE48" s="83">
        <f t="shared" ref="AE48" si="36">SUM(AE40:AE47)</f>
        <v>57.024793388429757</v>
      </c>
      <c r="AF48" s="83">
        <f t="shared" ref="AF48" si="37">SUM(AF40:AF47)</f>
        <v>79.504132231404967</v>
      </c>
      <c r="AG48" s="83">
        <f t="shared" ref="AG48" si="38">SUM(AG40:AG47)</f>
        <v>99.173553719008268</v>
      </c>
    </row>
    <row r="50" spans="3:33" x14ac:dyDescent="0.2">
      <c r="C50" s="59" t="s">
        <v>266</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2" spans="3:33" x14ac:dyDescent="0.2">
      <c r="C52" t="s">
        <v>185</v>
      </c>
      <c r="E52" s="96">
        <f>(E35/E48)-1</f>
        <v>-0.12536256821198566</v>
      </c>
      <c r="F52" s="96">
        <f>(F35/F48)-1</f>
        <v>-0.40072667912903825</v>
      </c>
      <c r="G52" s="96">
        <f>(G35/G48)-1</f>
        <v>-0.42113405384499702</v>
      </c>
      <c r="I52" s="96">
        <f t="shared" ref="I52:R52" si="39">(I35/I48)-1</f>
        <v>-0.27483900643974257</v>
      </c>
      <c r="J52" s="96">
        <f t="shared" si="39"/>
        <v>-0.23770190895741572</v>
      </c>
      <c r="K52" s="96">
        <f t="shared" si="39"/>
        <v>-0.23037861250093361</v>
      </c>
      <c r="L52" s="96">
        <f t="shared" si="39"/>
        <v>-0.21069847989224566</v>
      </c>
      <c r="M52" s="96">
        <f t="shared" si="39"/>
        <v>-0.16767903629217495</v>
      </c>
      <c r="N52" s="96">
        <f t="shared" si="39"/>
        <v>-0.24604234217051324</v>
      </c>
      <c r="O52" s="96">
        <f t="shared" si="39"/>
        <v>-0.21913920857638358</v>
      </c>
      <c r="P52" s="96">
        <f t="shared" si="39"/>
        <v>-0.30702520225830865</v>
      </c>
      <c r="Q52" s="96">
        <f t="shared" si="39"/>
        <v>-0.28249316340746089</v>
      </c>
      <c r="R52" s="96">
        <f t="shared" si="39"/>
        <v>-0.23416449253667493</v>
      </c>
      <c r="T52" s="96">
        <f t="shared" ref="T52:AC52" si="40">(T35/T48)-1</f>
        <v>-0.27483900643974257</v>
      </c>
      <c r="U52" s="96">
        <f t="shared" si="40"/>
        <v>-0.23770190895741572</v>
      </c>
      <c r="V52" s="96">
        <f t="shared" si="40"/>
        <v>-0.23037861250093361</v>
      </c>
      <c r="W52" s="96">
        <f t="shared" si="40"/>
        <v>-0.21069847989224566</v>
      </c>
      <c r="X52" s="96">
        <f t="shared" si="40"/>
        <v>-0.16767903629217495</v>
      </c>
      <c r="Y52" s="96">
        <f t="shared" si="40"/>
        <v>-0.24604234217051324</v>
      </c>
      <c r="Z52" s="96">
        <f t="shared" si="40"/>
        <v>-0.21913920857638358</v>
      </c>
      <c r="AA52" s="96">
        <f t="shared" si="40"/>
        <v>-0.30702520225830865</v>
      </c>
      <c r="AB52" s="96">
        <f t="shared" si="40"/>
        <v>-0.28249316340746089</v>
      </c>
      <c r="AC52" s="96">
        <f t="shared" si="40"/>
        <v>-0.23416449253667493</v>
      </c>
      <c r="AE52" s="96">
        <f>(AE35/AE48)-1</f>
        <v>-0.50144927536231898</v>
      </c>
      <c r="AF52" s="96">
        <f>(AF35/AF48)-1</f>
        <v>-0.53846153846153855</v>
      </c>
      <c r="AG52" s="96">
        <f>(AG35/AG48)-1</f>
        <v>-0.54666666666666663</v>
      </c>
    </row>
    <row r="54" spans="3:33" s="41" customFormat="1" x14ac:dyDescent="0.2">
      <c r="C54" s="41" t="s">
        <v>267</v>
      </c>
      <c r="E54" s="115">
        <f>(E40+E41)*(1+E52)</f>
        <v>28.183564847450146</v>
      </c>
      <c r="F54" s="115">
        <f>(F40+F41)*(1+F52)</f>
        <v>30.404453858073008</v>
      </c>
      <c r="G54" s="115">
        <f>(G40+G41)*(1+G52)</f>
        <v>39.606869158820416</v>
      </c>
      <c r="H54" s="106"/>
      <c r="I54" s="115">
        <f t="shared" ref="I54:R54" si="41">(I40+I41)*(1+I52)</f>
        <v>23.061318208428681</v>
      </c>
      <c r="J54" s="115">
        <f t="shared" si="41"/>
        <v>31.172321937840554</v>
      </c>
      <c r="K54" s="115">
        <f t="shared" si="41"/>
        <v>37.832297626813613</v>
      </c>
      <c r="L54" s="115">
        <f t="shared" si="41"/>
        <v>45.975182758012011</v>
      </c>
      <c r="M54" s="115">
        <f t="shared" si="41"/>
        <v>62.238347765523976</v>
      </c>
      <c r="N54" s="115">
        <f t="shared" si="41"/>
        <v>23.977099729982356</v>
      </c>
      <c r="O54" s="115">
        <f t="shared" si="41"/>
        <v>31.931398313752513</v>
      </c>
      <c r="P54" s="115">
        <f t="shared" si="41"/>
        <v>34.064579313781657</v>
      </c>
      <c r="Q54" s="115">
        <f t="shared" si="41"/>
        <v>41.793290779373685</v>
      </c>
      <c r="R54" s="115">
        <f t="shared" si="41"/>
        <v>57.266774144860868</v>
      </c>
      <c r="S54" s="106"/>
      <c r="T54" s="115">
        <f t="shared" ref="T54:AC54" si="42">(T40+T41)*(1+T52)</f>
        <v>23.061318208428681</v>
      </c>
      <c r="U54" s="115">
        <f t="shared" si="42"/>
        <v>31.172321937840554</v>
      </c>
      <c r="V54" s="115">
        <f t="shared" si="42"/>
        <v>37.832297626813613</v>
      </c>
      <c r="W54" s="115">
        <f t="shared" si="42"/>
        <v>45.975182758012011</v>
      </c>
      <c r="X54" s="115">
        <f t="shared" si="42"/>
        <v>62.238347765523976</v>
      </c>
      <c r="Y54" s="115">
        <f t="shared" si="42"/>
        <v>23.977099729982356</v>
      </c>
      <c r="Z54" s="115">
        <f t="shared" si="42"/>
        <v>31.931398313752513</v>
      </c>
      <c r="AA54" s="115">
        <f t="shared" si="42"/>
        <v>34.064579313781657</v>
      </c>
      <c r="AB54" s="115">
        <f t="shared" si="42"/>
        <v>41.793290779373685</v>
      </c>
      <c r="AC54" s="115">
        <f t="shared" si="42"/>
        <v>57.266774144860868</v>
      </c>
      <c r="AD54" s="106"/>
      <c r="AE54" s="115">
        <f>(AE40+AE41)*(1+AE52)</f>
        <v>20.889687387711099</v>
      </c>
      <c r="AF54" s="115">
        <f>(AF40+AF41)*(1+AF52)</f>
        <v>26.967577876668781</v>
      </c>
      <c r="AG54" s="115">
        <f>(AG40+AG41)*(1+AG52)</f>
        <v>30.234710743801656</v>
      </c>
    </row>
    <row r="55" spans="3:33" s="41" customFormat="1" x14ac:dyDescent="0.2"/>
    <row r="56" spans="3:33" s="41" customFormat="1" x14ac:dyDescent="0.2">
      <c r="C56" s="59" t="s">
        <v>268</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3:33" s="41" customFormat="1" x14ac:dyDescent="0.2"/>
    <row r="58" spans="3:33" s="41" customFormat="1" x14ac:dyDescent="0.2">
      <c r="C58" s="78" t="s">
        <v>271</v>
      </c>
    </row>
    <row r="59" spans="3:33" s="41" customFormat="1" outlineLevel="1" x14ac:dyDescent="0.2">
      <c r="C59" s="95" t="s">
        <v>269</v>
      </c>
      <c r="E59" s="94" t="s">
        <v>157</v>
      </c>
      <c r="F59" s="94" t="s">
        <v>157</v>
      </c>
      <c r="G59" s="94" t="s">
        <v>157</v>
      </c>
      <c r="I59" s="94" t="s">
        <v>158</v>
      </c>
      <c r="J59" s="94" t="s">
        <v>158</v>
      </c>
      <c r="K59" s="94" t="s">
        <v>158</v>
      </c>
      <c r="L59" s="94" t="s">
        <v>158</v>
      </c>
      <c r="M59" s="94" t="s">
        <v>158</v>
      </c>
      <c r="N59" s="94" t="s">
        <v>158</v>
      </c>
      <c r="O59" s="94" t="s">
        <v>158</v>
      </c>
      <c r="P59" s="94" t="s">
        <v>158</v>
      </c>
      <c r="Q59" s="94" t="s">
        <v>158</v>
      </c>
      <c r="R59" s="94" t="s">
        <v>158</v>
      </c>
      <c r="T59" s="94" t="s">
        <v>158</v>
      </c>
      <c r="U59" s="94" t="s">
        <v>158</v>
      </c>
      <c r="V59" s="94" t="s">
        <v>158</v>
      </c>
      <c r="W59" s="94" t="s">
        <v>158</v>
      </c>
      <c r="X59" s="94" t="s">
        <v>158</v>
      </c>
      <c r="Y59" s="94" t="s">
        <v>158</v>
      </c>
      <c r="Z59" s="94" t="s">
        <v>158</v>
      </c>
      <c r="AA59" s="94" t="s">
        <v>158</v>
      </c>
      <c r="AB59" s="94" t="s">
        <v>158</v>
      </c>
      <c r="AC59" s="94" t="s">
        <v>158</v>
      </c>
      <c r="AE59" s="94" t="s">
        <v>159</v>
      </c>
      <c r="AF59" s="94" t="s">
        <v>159</v>
      </c>
      <c r="AG59" s="94" t="s">
        <v>159</v>
      </c>
    </row>
    <row r="60" spans="3:33" s="41" customFormat="1" outlineLevel="1" x14ac:dyDescent="0.2">
      <c r="C60" s="95" t="s">
        <v>270</v>
      </c>
      <c r="E60" s="94" t="s">
        <v>160</v>
      </c>
      <c r="F60" s="94" t="s">
        <v>160</v>
      </c>
      <c r="G60" s="94" t="s">
        <v>160</v>
      </c>
      <c r="I60" s="94" t="s">
        <v>133</v>
      </c>
      <c r="J60" s="94" t="s">
        <v>133</v>
      </c>
      <c r="K60" s="94" t="s">
        <v>133</v>
      </c>
      <c r="L60" s="94" t="s">
        <v>133</v>
      </c>
      <c r="M60" s="94" t="s">
        <v>133</v>
      </c>
      <c r="N60" s="94" t="s">
        <v>133</v>
      </c>
      <c r="O60" s="94" t="s">
        <v>133</v>
      </c>
      <c r="P60" s="94" t="s">
        <v>133</v>
      </c>
      <c r="Q60" s="94" t="s">
        <v>133</v>
      </c>
      <c r="R60" s="94" t="s">
        <v>133</v>
      </c>
      <c r="T60" s="94" t="s">
        <v>133</v>
      </c>
      <c r="U60" s="94" t="s">
        <v>133</v>
      </c>
      <c r="V60" s="94" t="s">
        <v>133</v>
      </c>
      <c r="W60" s="94" t="s">
        <v>133</v>
      </c>
      <c r="X60" s="94" t="s">
        <v>133</v>
      </c>
      <c r="Y60" s="94" t="s">
        <v>133</v>
      </c>
      <c r="Z60" s="94" t="s">
        <v>133</v>
      </c>
      <c r="AA60" s="94" t="s">
        <v>133</v>
      </c>
      <c r="AB60" s="94" t="s">
        <v>133</v>
      </c>
      <c r="AC60" s="94" t="s">
        <v>133</v>
      </c>
      <c r="AE60" s="94" t="s">
        <v>161</v>
      </c>
      <c r="AF60" s="94" t="s">
        <v>161</v>
      </c>
      <c r="AG60" s="94" t="s">
        <v>161</v>
      </c>
    </row>
    <row r="61" spans="3:33" s="41" customFormat="1" outlineLevel="1" x14ac:dyDescent="0.2">
      <c r="C61" s="95" t="s">
        <v>96</v>
      </c>
      <c r="E61" s="94" t="s">
        <v>153</v>
      </c>
      <c r="F61" s="94" t="s">
        <v>153</v>
      </c>
      <c r="G61" s="94" t="s">
        <v>153</v>
      </c>
      <c r="I61" s="94" t="s">
        <v>133</v>
      </c>
      <c r="J61" s="94" t="s">
        <v>133</v>
      </c>
      <c r="K61" s="94" t="s">
        <v>133</v>
      </c>
      <c r="L61" s="94" t="s">
        <v>133</v>
      </c>
      <c r="M61" s="94" t="s">
        <v>133</v>
      </c>
      <c r="N61" s="94" t="s">
        <v>133</v>
      </c>
      <c r="O61" s="94" t="s">
        <v>133</v>
      </c>
      <c r="P61" s="94" t="s">
        <v>133</v>
      </c>
      <c r="Q61" s="94" t="s">
        <v>133</v>
      </c>
      <c r="R61" s="94" t="s">
        <v>133</v>
      </c>
      <c r="T61" s="94" t="s">
        <v>133</v>
      </c>
      <c r="U61" s="94" t="s">
        <v>133</v>
      </c>
      <c r="V61" s="94" t="s">
        <v>133</v>
      </c>
      <c r="W61" s="94" t="s">
        <v>133</v>
      </c>
      <c r="X61" s="94" t="s">
        <v>133</v>
      </c>
      <c r="Y61" s="94" t="s">
        <v>133</v>
      </c>
      <c r="Z61" s="94" t="s">
        <v>133</v>
      </c>
      <c r="AA61" s="94" t="s">
        <v>133</v>
      </c>
      <c r="AB61" s="94" t="s">
        <v>133</v>
      </c>
      <c r="AC61" s="94" t="s">
        <v>133</v>
      </c>
      <c r="AE61" s="94" t="s">
        <v>200</v>
      </c>
      <c r="AF61" s="94" t="s">
        <v>200</v>
      </c>
      <c r="AG61" s="94" t="s">
        <v>200</v>
      </c>
    </row>
    <row r="62" spans="3:33" s="41" customFormat="1" outlineLevel="1" x14ac:dyDescent="0.2">
      <c r="C62" s="95" t="s">
        <v>149</v>
      </c>
      <c r="E62" s="94" t="s">
        <v>165</v>
      </c>
      <c r="F62" s="94" t="s">
        <v>165</v>
      </c>
      <c r="G62" s="94" t="s">
        <v>165</v>
      </c>
      <c r="I62" s="94" t="s">
        <v>166</v>
      </c>
      <c r="J62" s="94" t="s">
        <v>166</v>
      </c>
      <c r="K62" s="94" t="s">
        <v>166</v>
      </c>
      <c r="L62" s="94" t="s">
        <v>166</v>
      </c>
      <c r="M62" s="94" t="s">
        <v>166</v>
      </c>
      <c r="N62" s="94" t="s">
        <v>166</v>
      </c>
      <c r="O62" s="94" t="s">
        <v>166</v>
      </c>
      <c r="P62" s="94" t="s">
        <v>166</v>
      </c>
      <c r="Q62" s="94" t="s">
        <v>166</v>
      </c>
      <c r="R62" s="94" t="s">
        <v>166</v>
      </c>
      <c r="T62" s="94" t="s">
        <v>166</v>
      </c>
      <c r="U62" s="94" t="s">
        <v>166</v>
      </c>
      <c r="V62" s="94" t="s">
        <v>166</v>
      </c>
      <c r="W62" s="94" t="s">
        <v>166</v>
      </c>
      <c r="X62" s="94" t="s">
        <v>166</v>
      </c>
      <c r="Y62" s="94" t="s">
        <v>166</v>
      </c>
      <c r="Z62" s="94" t="s">
        <v>166</v>
      </c>
      <c r="AA62" s="94" t="s">
        <v>166</v>
      </c>
      <c r="AB62" s="94" t="s">
        <v>166</v>
      </c>
      <c r="AC62" s="94" t="s">
        <v>166</v>
      </c>
      <c r="AE62" s="94" t="s">
        <v>167</v>
      </c>
      <c r="AF62" s="94" t="s">
        <v>167</v>
      </c>
      <c r="AG62" s="94" t="s">
        <v>167</v>
      </c>
    </row>
    <row r="63" spans="3:33" s="41" customFormat="1" x14ac:dyDescent="0.2"/>
    <row r="64" spans="3:33" s="41" customFormat="1" x14ac:dyDescent="0.2">
      <c r="C64" s="78" t="s">
        <v>272</v>
      </c>
      <c r="E64" s="83">
        <f>SUM(E65:E68)</f>
        <v>4.9586776859504136</v>
      </c>
      <c r="F64" s="83">
        <f t="shared" ref="F64:G64" si="43">SUM(F65:F68)</f>
        <v>4.9586776859504136</v>
      </c>
      <c r="G64" s="83">
        <f t="shared" si="43"/>
        <v>4.9586776859504136</v>
      </c>
      <c r="I64" s="83">
        <f t="shared" ref="I64" si="44">SUM(I65:I68)</f>
        <v>3.7190082644628104</v>
      </c>
      <c r="J64" s="83">
        <f t="shared" ref="J64" si="45">SUM(J65:J68)</f>
        <v>3.7190082644628104</v>
      </c>
      <c r="K64" s="83">
        <f t="shared" ref="K64" si="46">SUM(K65:K68)</f>
        <v>3.7190082644628104</v>
      </c>
      <c r="L64" s="83">
        <f t="shared" ref="L64" si="47">SUM(L65:L68)</f>
        <v>3.7190082644628104</v>
      </c>
      <c r="M64" s="83">
        <f t="shared" ref="M64" si="48">SUM(M65:M68)</f>
        <v>3.7190082644628104</v>
      </c>
      <c r="N64" s="83">
        <f t="shared" ref="N64" si="49">SUM(N65:N68)</f>
        <v>3.7190082644628104</v>
      </c>
      <c r="O64" s="83">
        <f t="shared" ref="O64" si="50">SUM(O65:O68)</f>
        <v>3.7190082644628104</v>
      </c>
      <c r="P64" s="83">
        <f t="shared" ref="P64" si="51">SUM(P65:P68)</f>
        <v>3.7190082644628104</v>
      </c>
      <c r="Q64" s="83">
        <f t="shared" ref="Q64" si="52">SUM(Q65:Q68)</f>
        <v>3.7190082644628104</v>
      </c>
      <c r="R64" s="83">
        <f t="shared" ref="R64" si="53">SUM(R65:R68)</f>
        <v>3.7190082644628104</v>
      </c>
      <c r="S64" s="83">
        <f t="shared" ref="S64" si="54">SUM(S65:S68)</f>
        <v>0</v>
      </c>
      <c r="T64" s="83">
        <f t="shared" ref="T64" si="55">SUM(T65:T68)</f>
        <v>3.7190082644628104</v>
      </c>
      <c r="U64" s="83">
        <f t="shared" ref="U64" si="56">SUM(U65:U68)</f>
        <v>3.7190082644628104</v>
      </c>
      <c r="V64" s="83">
        <f t="shared" ref="V64" si="57">SUM(V65:V68)</f>
        <v>3.7190082644628104</v>
      </c>
      <c r="W64" s="83">
        <f t="shared" ref="W64" si="58">SUM(W65:W68)</f>
        <v>3.7190082644628104</v>
      </c>
      <c r="X64" s="83">
        <f t="shared" ref="X64" si="59">SUM(X65:X68)</f>
        <v>3.7190082644628104</v>
      </c>
      <c r="Y64" s="83">
        <f t="shared" ref="Y64" si="60">SUM(Y65:Y68)</f>
        <v>3.7190082644628104</v>
      </c>
      <c r="Z64" s="83">
        <f t="shared" ref="Z64" si="61">SUM(Z65:Z68)</f>
        <v>3.7190082644628104</v>
      </c>
      <c r="AA64" s="83">
        <f t="shared" ref="AA64" si="62">SUM(AA65:AA68)</f>
        <v>3.7190082644628104</v>
      </c>
      <c r="AB64" s="83">
        <f t="shared" ref="AB64" si="63">SUM(AB65:AB68)</f>
        <v>3.7190082644628104</v>
      </c>
      <c r="AC64" s="83">
        <f t="shared" ref="AC64" si="64">SUM(AC65:AC68)</f>
        <v>3.7190082644628104</v>
      </c>
      <c r="AD64" s="83">
        <f t="shared" ref="AD64" si="65">SUM(AD65:AD68)</f>
        <v>0</v>
      </c>
      <c r="AE64" s="83">
        <f t="shared" ref="AE64" si="66">SUM(AE65:AE68)</f>
        <v>1.9008264462809918</v>
      </c>
      <c r="AF64" s="83">
        <f t="shared" ref="AF64" si="67">SUM(AF65:AF68)</f>
        <v>1.9008264462809918</v>
      </c>
      <c r="AG64" s="83">
        <f t="shared" ref="AG64" si="68">SUM(AG65:AG68)</f>
        <v>1.9008264462809918</v>
      </c>
    </row>
    <row r="65" spans="1:33" outlineLevel="1" x14ac:dyDescent="0.2">
      <c r="C65" s="95" t="s">
        <v>269</v>
      </c>
      <c r="E65" s="15">
        <f>INDEX('Values and minus percentages'!$G$6:$G$62,MATCH('Wholesale tariffs - multiplay'!E59,'Values and minus percentages'!$C$6:$C$62,0))</f>
        <v>1.6528925619834711</v>
      </c>
      <c r="F65" s="15">
        <f>INDEX('Values and minus percentages'!$G$6:$G$62,MATCH('Wholesale tariffs - multiplay'!F59,'Values and minus percentages'!$C$6:$C$62,0))</f>
        <v>1.6528925619834711</v>
      </c>
      <c r="G65" s="15">
        <f>INDEX('Values and minus percentages'!$G$6:$G$62,MATCH('Wholesale tariffs - multiplay'!G59,'Values and minus percentages'!$C$6:$C$62,0))</f>
        <v>1.6528925619834711</v>
      </c>
      <c r="H65" s="15"/>
      <c r="I65" s="15">
        <f>INDEX('Values and minus percentages'!$G$6:$G$62,MATCH('Wholesale tariffs - multiplay'!I59,'Values and minus percentages'!$C$6:$C$62,0))</f>
        <v>1.6528925619834711</v>
      </c>
      <c r="J65" s="15">
        <f>INDEX('Values and minus percentages'!$G$6:$G$62,MATCH('Wholesale tariffs - multiplay'!J59,'Values and minus percentages'!$C$6:$C$62,0))</f>
        <v>1.6528925619834711</v>
      </c>
      <c r="K65" s="15">
        <f>INDEX('Values and minus percentages'!$G$6:$G$62,MATCH('Wholesale tariffs - multiplay'!K59,'Values and minus percentages'!$C$6:$C$62,0))</f>
        <v>1.6528925619834711</v>
      </c>
      <c r="L65" s="15">
        <f>INDEX('Values and minus percentages'!$G$6:$G$62,MATCH('Wholesale tariffs - multiplay'!L59,'Values and minus percentages'!$C$6:$C$62,0))</f>
        <v>1.6528925619834711</v>
      </c>
      <c r="M65" s="15">
        <f>INDEX('Values and minus percentages'!$G$6:$G$62,MATCH('Wholesale tariffs - multiplay'!M59,'Values and minus percentages'!$C$6:$C$62,0))</f>
        <v>1.6528925619834711</v>
      </c>
      <c r="N65" s="15">
        <f>INDEX('Values and minus percentages'!$G$6:$G$62,MATCH('Wholesale tariffs - multiplay'!N59,'Values and minus percentages'!$C$6:$C$62,0))</f>
        <v>1.6528925619834711</v>
      </c>
      <c r="O65" s="15">
        <f>INDEX('Values and minus percentages'!$G$6:$G$62,MATCH('Wholesale tariffs - multiplay'!O59,'Values and minus percentages'!$C$6:$C$62,0))</f>
        <v>1.6528925619834711</v>
      </c>
      <c r="P65" s="15">
        <f>INDEX('Values and minus percentages'!$G$6:$G$62,MATCH('Wholesale tariffs - multiplay'!P59,'Values and minus percentages'!$C$6:$C$62,0))</f>
        <v>1.6528925619834711</v>
      </c>
      <c r="Q65" s="15">
        <f>INDEX('Values and minus percentages'!$G$6:$G$62,MATCH('Wholesale tariffs - multiplay'!Q59,'Values and minus percentages'!$C$6:$C$62,0))</f>
        <v>1.6528925619834711</v>
      </c>
      <c r="R65" s="15">
        <f>INDEX('Values and minus percentages'!$G$6:$G$62,MATCH('Wholesale tariffs - multiplay'!R59,'Values and minus percentages'!$C$6:$C$62,0))</f>
        <v>1.6528925619834711</v>
      </c>
      <c r="S65" s="15"/>
      <c r="T65" s="15">
        <f>INDEX('Values and minus percentages'!$G$6:$G$62,MATCH('Wholesale tariffs - multiplay'!T59,'Values and minus percentages'!$C$6:$C$62,0))</f>
        <v>1.6528925619834711</v>
      </c>
      <c r="U65" s="15">
        <f>INDEX('Values and minus percentages'!$G$6:$G$62,MATCH('Wholesale tariffs - multiplay'!U59,'Values and minus percentages'!$C$6:$C$62,0))</f>
        <v>1.6528925619834711</v>
      </c>
      <c r="V65" s="15">
        <f>INDEX('Values and minus percentages'!$G$6:$G$62,MATCH('Wholesale tariffs - multiplay'!V59,'Values and minus percentages'!$C$6:$C$62,0))</f>
        <v>1.6528925619834711</v>
      </c>
      <c r="W65" s="15">
        <f>INDEX('Values and minus percentages'!$G$6:$G$62,MATCH('Wholesale tariffs - multiplay'!W59,'Values and minus percentages'!$C$6:$C$62,0))</f>
        <v>1.6528925619834711</v>
      </c>
      <c r="X65" s="15">
        <f>INDEX('Values and minus percentages'!$G$6:$G$62,MATCH('Wholesale tariffs - multiplay'!X59,'Values and minus percentages'!$C$6:$C$62,0))</f>
        <v>1.6528925619834711</v>
      </c>
      <c r="Y65" s="15">
        <f>INDEX('Values and minus percentages'!$G$6:$G$62,MATCH('Wholesale tariffs - multiplay'!Y59,'Values and minus percentages'!$C$6:$C$62,0))</f>
        <v>1.6528925619834711</v>
      </c>
      <c r="Z65" s="15">
        <f>INDEX('Values and minus percentages'!$G$6:$G$62,MATCH('Wholesale tariffs - multiplay'!Z59,'Values and minus percentages'!$C$6:$C$62,0))</f>
        <v>1.6528925619834711</v>
      </c>
      <c r="AA65" s="15">
        <f>INDEX('Values and minus percentages'!$G$6:$G$62,MATCH('Wholesale tariffs - multiplay'!AA59,'Values and minus percentages'!$C$6:$C$62,0))</f>
        <v>1.6528925619834711</v>
      </c>
      <c r="AB65" s="15">
        <f>INDEX('Values and minus percentages'!$G$6:$G$62,MATCH('Wholesale tariffs - multiplay'!AB59,'Values and minus percentages'!$C$6:$C$62,0))</f>
        <v>1.6528925619834711</v>
      </c>
      <c r="AC65" s="15">
        <f>INDEX('Values and minus percentages'!$G$6:$G$62,MATCH('Wholesale tariffs - multiplay'!AC59,'Values and minus percentages'!$C$6:$C$62,0))</f>
        <v>1.6528925619834711</v>
      </c>
      <c r="AD65" s="15"/>
      <c r="AE65" s="15">
        <f>INDEX('Values and minus percentages'!$G$6:$G$62,MATCH('Wholesale tariffs - multiplay'!AE59,'Values and minus percentages'!$C$6:$C$62,0))</f>
        <v>1.6528925619834711</v>
      </c>
      <c r="AF65" s="15">
        <f>INDEX('Values and minus percentages'!$G$6:$G$62,MATCH('Wholesale tariffs - multiplay'!AF59,'Values and minus percentages'!$C$6:$C$62,0))</f>
        <v>1.6528925619834711</v>
      </c>
      <c r="AG65" s="15">
        <f>INDEX('Values and minus percentages'!$G$6:$G$62,MATCH('Wholesale tariffs - multiplay'!AG59,'Values and minus percentages'!$C$6:$C$62,0))</f>
        <v>1.6528925619834711</v>
      </c>
    </row>
    <row r="66" spans="1:33" outlineLevel="1" x14ac:dyDescent="0.2">
      <c r="C66" s="95" t="s">
        <v>270</v>
      </c>
      <c r="E66" s="15">
        <f>INDEX('Values and minus percentages'!$G$6:$G$62,MATCH('Wholesale tariffs - multiplay'!E60,'Values and minus percentages'!$C$6:$C$62,0))</f>
        <v>0.82644628099173556</v>
      </c>
      <c r="F66" s="15">
        <f>INDEX('Values and minus percentages'!$G$6:$G$62,MATCH('Wholesale tariffs - multiplay'!F60,'Values and minus percentages'!$C$6:$C$62,0))</f>
        <v>0.82644628099173556</v>
      </c>
      <c r="G66" s="15">
        <f>INDEX('Values and minus percentages'!$G$6:$G$62,MATCH('Wholesale tariffs - multiplay'!G60,'Values and minus percentages'!$C$6:$C$62,0))</f>
        <v>0.82644628099173556</v>
      </c>
      <c r="H66" s="15"/>
      <c r="I66" s="15">
        <f>INDEX('Values and minus percentages'!$G$6:$G$62,MATCH('Wholesale tariffs - multiplay'!I60,'Values and minus percentages'!$C$6:$C$62,0))</f>
        <v>0</v>
      </c>
      <c r="J66" s="15">
        <f>INDEX('Values and minus percentages'!$G$6:$G$62,MATCH('Wholesale tariffs - multiplay'!J60,'Values and minus percentages'!$C$6:$C$62,0))</f>
        <v>0</v>
      </c>
      <c r="K66" s="15">
        <f>INDEX('Values and minus percentages'!$G$6:$G$62,MATCH('Wholesale tariffs - multiplay'!K60,'Values and minus percentages'!$C$6:$C$62,0))</f>
        <v>0</v>
      </c>
      <c r="L66" s="15">
        <f>INDEX('Values and minus percentages'!$G$6:$G$62,MATCH('Wholesale tariffs - multiplay'!L60,'Values and minus percentages'!$C$6:$C$62,0))</f>
        <v>0</v>
      </c>
      <c r="M66" s="15">
        <f>INDEX('Values and minus percentages'!$G$6:$G$62,MATCH('Wholesale tariffs - multiplay'!M60,'Values and minus percentages'!$C$6:$C$62,0))</f>
        <v>0</v>
      </c>
      <c r="N66" s="15">
        <f>INDEX('Values and minus percentages'!$G$6:$G$62,MATCH('Wholesale tariffs - multiplay'!N60,'Values and minus percentages'!$C$6:$C$62,0))</f>
        <v>0</v>
      </c>
      <c r="O66" s="15">
        <f>INDEX('Values and minus percentages'!$G$6:$G$62,MATCH('Wholesale tariffs - multiplay'!O60,'Values and minus percentages'!$C$6:$C$62,0))</f>
        <v>0</v>
      </c>
      <c r="P66" s="15">
        <f>INDEX('Values and minus percentages'!$G$6:$G$62,MATCH('Wholesale tariffs - multiplay'!P60,'Values and minus percentages'!$C$6:$C$62,0))</f>
        <v>0</v>
      </c>
      <c r="Q66" s="15">
        <f>INDEX('Values and minus percentages'!$G$6:$G$62,MATCH('Wholesale tariffs - multiplay'!Q60,'Values and minus percentages'!$C$6:$C$62,0))</f>
        <v>0</v>
      </c>
      <c r="R66" s="15">
        <f>INDEX('Values and minus percentages'!$G$6:$G$62,MATCH('Wholesale tariffs - multiplay'!R60,'Values and minus percentages'!$C$6:$C$62,0))</f>
        <v>0</v>
      </c>
      <c r="S66" s="15"/>
      <c r="T66" s="15">
        <f>INDEX('Values and minus percentages'!$G$6:$G$62,MATCH('Wholesale tariffs - multiplay'!T60,'Values and minus percentages'!$C$6:$C$62,0))</f>
        <v>0</v>
      </c>
      <c r="U66" s="15">
        <f>INDEX('Values and minus percentages'!$G$6:$G$62,MATCH('Wholesale tariffs - multiplay'!U60,'Values and minus percentages'!$C$6:$C$62,0))</f>
        <v>0</v>
      </c>
      <c r="V66" s="15">
        <f>INDEX('Values and minus percentages'!$G$6:$G$62,MATCH('Wholesale tariffs - multiplay'!V60,'Values and minus percentages'!$C$6:$C$62,0))</f>
        <v>0</v>
      </c>
      <c r="W66" s="15">
        <f>INDEX('Values and minus percentages'!$G$6:$G$62,MATCH('Wholesale tariffs - multiplay'!W60,'Values and minus percentages'!$C$6:$C$62,0))</f>
        <v>0</v>
      </c>
      <c r="X66" s="15">
        <f>INDEX('Values and minus percentages'!$G$6:$G$62,MATCH('Wholesale tariffs - multiplay'!X60,'Values and minus percentages'!$C$6:$C$62,0))</f>
        <v>0</v>
      </c>
      <c r="Y66" s="15">
        <f>INDEX('Values and minus percentages'!$G$6:$G$62,MATCH('Wholesale tariffs - multiplay'!Y60,'Values and minus percentages'!$C$6:$C$62,0))</f>
        <v>0</v>
      </c>
      <c r="Z66" s="15">
        <f>INDEX('Values and minus percentages'!$G$6:$G$62,MATCH('Wholesale tariffs - multiplay'!Z60,'Values and minus percentages'!$C$6:$C$62,0))</f>
        <v>0</v>
      </c>
      <c r="AA66" s="15">
        <f>INDEX('Values and minus percentages'!$G$6:$G$62,MATCH('Wholesale tariffs - multiplay'!AA60,'Values and minus percentages'!$C$6:$C$62,0))</f>
        <v>0</v>
      </c>
      <c r="AB66" s="15">
        <f>INDEX('Values and minus percentages'!$G$6:$G$62,MATCH('Wholesale tariffs - multiplay'!AB60,'Values and minus percentages'!$C$6:$C$62,0))</f>
        <v>0</v>
      </c>
      <c r="AC66" s="15">
        <f>INDEX('Values and minus percentages'!$G$6:$G$62,MATCH('Wholesale tariffs - multiplay'!AC60,'Values and minus percentages'!$C$6:$C$62,0))</f>
        <v>0</v>
      </c>
      <c r="AD66" s="15"/>
      <c r="AE66" s="15">
        <f>INDEX('Values and minus percentages'!$G$6:$G$62,MATCH('Wholesale tariffs - multiplay'!AE60,'Values and minus percentages'!$C$6:$C$62,0))</f>
        <v>0</v>
      </c>
      <c r="AF66" s="15">
        <f>INDEX('Values and minus percentages'!$G$6:$G$62,MATCH('Wholesale tariffs - multiplay'!AF60,'Values and minus percentages'!$C$6:$C$62,0))</f>
        <v>0</v>
      </c>
      <c r="AG66" s="15">
        <f>INDEX('Values and minus percentages'!$G$6:$G$62,MATCH('Wholesale tariffs - multiplay'!AG60,'Values and minus percentages'!$C$6:$C$62,0))</f>
        <v>0</v>
      </c>
    </row>
    <row r="67" spans="1:33" outlineLevel="1" x14ac:dyDescent="0.2">
      <c r="C67" s="95" t="s">
        <v>96</v>
      </c>
      <c r="E67" s="15">
        <f>INDEX('Values and minus percentages'!$G$6:$G$62,MATCH('Wholesale tariffs - multiplay'!E61,'Values and minus percentages'!$C$6:$C$62,0))</f>
        <v>0.41322314049586778</v>
      </c>
      <c r="F67" s="15">
        <f>INDEX('Values and minus percentages'!$G$6:$G$62,MATCH('Wholesale tariffs - multiplay'!F61,'Values and minus percentages'!$C$6:$C$62,0))</f>
        <v>0.41322314049586778</v>
      </c>
      <c r="G67" s="15">
        <f>INDEX('Values and minus percentages'!$G$6:$G$62,MATCH('Wholesale tariffs - multiplay'!G61,'Values and minus percentages'!$C$6:$C$62,0))</f>
        <v>0.41322314049586778</v>
      </c>
      <c r="H67" s="15"/>
      <c r="I67" s="15">
        <f>INDEX('Values and minus percentages'!$G$6:$G$62,MATCH('Wholesale tariffs - multiplay'!I61,'Values and minus percentages'!$C$6:$C$62,0))</f>
        <v>0</v>
      </c>
      <c r="J67" s="15">
        <f>INDEX('Values and minus percentages'!$G$6:$G$62,MATCH('Wholesale tariffs - multiplay'!J61,'Values and minus percentages'!$C$6:$C$62,0))</f>
        <v>0</v>
      </c>
      <c r="K67" s="15">
        <f>INDEX('Values and minus percentages'!$G$6:$G$62,MATCH('Wholesale tariffs - multiplay'!K61,'Values and minus percentages'!$C$6:$C$62,0))</f>
        <v>0</v>
      </c>
      <c r="L67" s="15">
        <f>INDEX('Values and minus percentages'!$G$6:$G$62,MATCH('Wholesale tariffs - multiplay'!L61,'Values and minus percentages'!$C$6:$C$62,0))</f>
        <v>0</v>
      </c>
      <c r="M67" s="15">
        <f>INDEX('Values and minus percentages'!$G$6:$G$62,MATCH('Wholesale tariffs - multiplay'!M61,'Values and minus percentages'!$C$6:$C$62,0))</f>
        <v>0</v>
      </c>
      <c r="N67" s="15">
        <f>INDEX('Values and minus percentages'!$G$6:$G$62,MATCH('Wholesale tariffs - multiplay'!N61,'Values and minus percentages'!$C$6:$C$62,0))</f>
        <v>0</v>
      </c>
      <c r="O67" s="15">
        <f>INDEX('Values and minus percentages'!$G$6:$G$62,MATCH('Wholesale tariffs - multiplay'!O61,'Values and minus percentages'!$C$6:$C$62,0))</f>
        <v>0</v>
      </c>
      <c r="P67" s="15">
        <f>INDEX('Values and minus percentages'!$G$6:$G$62,MATCH('Wholesale tariffs - multiplay'!P61,'Values and minus percentages'!$C$6:$C$62,0))</f>
        <v>0</v>
      </c>
      <c r="Q67" s="15">
        <f>INDEX('Values and minus percentages'!$G$6:$G$62,MATCH('Wholesale tariffs - multiplay'!Q61,'Values and minus percentages'!$C$6:$C$62,0))</f>
        <v>0</v>
      </c>
      <c r="R67" s="15">
        <f>INDEX('Values and minus percentages'!$G$6:$G$62,MATCH('Wholesale tariffs - multiplay'!R61,'Values and minus percentages'!$C$6:$C$62,0))</f>
        <v>0</v>
      </c>
      <c r="S67" s="15"/>
      <c r="T67" s="15">
        <f>INDEX('Values and minus percentages'!$G$6:$G$62,MATCH('Wholesale tariffs - multiplay'!T61,'Values and minus percentages'!$C$6:$C$62,0))</f>
        <v>0</v>
      </c>
      <c r="U67" s="15">
        <f>INDEX('Values and minus percentages'!$G$6:$G$62,MATCH('Wholesale tariffs - multiplay'!U61,'Values and minus percentages'!$C$6:$C$62,0))</f>
        <v>0</v>
      </c>
      <c r="V67" s="15">
        <f>INDEX('Values and minus percentages'!$G$6:$G$62,MATCH('Wholesale tariffs - multiplay'!V61,'Values and minus percentages'!$C$6:$C$62,0))</f>
        <v>0</v>
      </c>
      <c r="W67" s="15">
        <f>INDEX('Values and minus percentages'!$G$6:$G$62,MATCH('Wholesale tariffs - multiplay'!W61,'Values and minus percentages'!$C$6:$C$62,0))</f>
        <v>0</v>
      </c>
      <c r="X67" s="15">
        <f>INDEX('Values and minus percentages'!$G$6:$G$62,MATCH('Wholesale tariffs - multiplay'!X61,'Values and minus percentages'!$C$6:$C$62,0))</f>
        <v>0</v>
      </c>
      <c r="Y67" s="15">
        <f>INDEX('Values and minus percentages'!$G$6:$G$62,MATCH('Wholesale tariffs - multiplay'!Y61,'Values and minus percentages'!$C$6:$C$62,0))</f>
        <v>0</v>
      </c>
      <c r="Z67" s="15">
        <f>INDEX('Values and minus percentages'!$G$6:$G$62,MATCH('Wholesale tariffs - multiplay'!Z61,'Values and minus percentages'!$C$6:$C$62,0))</f>
        <v>0</v>
      </c>
      <c r="AA67" s="15">
        <f>INDEX('Values and minus percentages'!$G$6:$G$62,MATCH('Wholesale tariffs - multiplay'!AA61,'Values and minus percentages'!$C$6:$C$62,0))</f>
        <v>0</v>
      </c>
      <c r="AB67" s="15">
        <f>INDEX('Values and minus percentages'!$G$6:$G$62,MATCH('Wholesale tariffs - multiplay'!AB61,'Values and minus percentages'!$C$6:$C$62,0))</f>
        <v>0</v>
      </c>
      <c r="AC67" s="15">
        <f>INDEX('Values and minus percentages'!$G$6:$G$62,MATCH('Wholesale tariffs - multiplay'!AC61,'Values and minus percentages'!$C$6:$C$62,0))</f>
        <v>0</v>
      </c>
      <c r="AD67" s="15"/>
      <c r="AE67" s="15">
        <f>INDEX('Values and minus percentages'!$G$6:$G$62,MATCH('Wholesale tariffs - multiplay'!AE61,'Values and minus percentages'!$C$6:$C$62,0))</f>
        <v>0.24793388429752067</v>
      </c>
      <c r="AF67" s="15">
        <f>INDEX('Values and minus percentages'!$G$6:$G$62,MATCH('Wholesale tariffs - multiplay'!AF61,'Values and minus percentages'!$C$6:$C$62,0))</f>
        <v>0.24793388429752067</v>
      </c>
      <c r="AG67" s="15">
        <f>INDEX('Values and minus percentages'!$G$6:$G$62,MATCH('Wholesale tariffs - multiplay'!AG61,'Values and minus percentages'!$C$6:$C$62,0))</f>
        <v>0.24793388429752067</v>
      </c>
    </row>
    <row r="68" spans="1:33" outlineLevel="1" x14ac:dyDescent="0.2">
      <c r="C68" s="95" t="s">
        <v>149</v>
      </c>
      <c r="E68" s="15">
        <f>INDEX('Values and minus percentages'!$G$6:$G$62,MATCH('Wholesale tariffs - multiplay'!E62,'Values and minus percentages'!$C$6:$C$62,0))</f>
        <v>2.0661157024793391</v>
      </c>
      <c r="F68" s="15">
        <f>INDEX('Values and minus percentages'!$G$6:$G$62,MATCH('Wholesale tariffs - multiplay'!F62,'Values and minus percentages'!$C$6:$C$62,0))</f>
        <v>2.0661157024793391</v>
      </c>
      <c r="G68" s="15">
        <f>INDEX('Values and minus percentages'!$G$6:$G$62,MATCH('Wholesale tariffs - multiplay'!G62,'Values and minus percentages'!$C$6:$C$62,0))</f>
        <v>2.0661157024793391</v>
      </c>
      <c r="H68" s="15"/>
      <c r="I68" s="15">
        <f>INDEX('Values and minus percentages'!$G$6:$G$62,MATCH('Wholesale tariffs - multiplay'!I62,'Values and minus percentages'!$C$6:$C$62,0))</f>
        <v>2.0661157024793391</v>
      </c>
      <c r="J68" s="15">
        <f>INDEX('Values and minus percentages'!$G$6:$G$62,MATCH('Wholesale tariffs - multiplay'!J62,'Values and minus percentages'!$C$6:$C$62,0))</f>
        <v>2.0661157024793391</v>
      </c>
      <c r="K68" s="15">
        <f>INDEX('Values and minus percentages'!$G$6:$G$62,MATCH('Wholesale tariffs - multiplay'!K62,'Values and minus percentages'!$C$6:$C$62,0))</f>
        <v>2.0661157024793391</v>
      </c>
      <c r="L68" s="15">
        <f>INDEX('Values and minus percentages'!$G$6:$G$62,MATCH('Wholesale tariffs - multiplay'!L62,'Values and minus percentages'!$C$6:$C$62,0))</f>
        <v>2.0661157024793391</v>
      </c>
      <c r="M68" s="15">
        <f>INDEX('Values and minus percentages'!$G$6:$G$62,MATCH('Wholesale tariffs - multiplay'!M62,'Values and minus percentages'!$C$6:$C$62,0))</f>
        <v>2.0661157024793391</v>
      </c>
      <c r="N68" s="15">
        <f>INDEX('Values and minus percentages'!$G$6:$G$62,MATCH('Wholesale tariffs - multiplay'!N62,'Values and minus percentages'!$C$6:$C$62,0))</f>
        <v>2.0661157024793391</v>
      </c>
      <c r="O68" s="15">
        <f>INDEX('Values and minus percentages'!$G$6:$G$62,MATCH('Wholesale tariffs - multiplay'!O62,'Values and minus percentages'!$C$6:$C$62,0))</f>
        <v>2.0661157024793391</v>
      </c>
      <c r="P68" s="15">
        <f>INDEX('Values and minus percentages'!$G$6:$G$62,MATCH('Wholesale tariffs - multiplay'!P62,'Values and minus percentages'!$C$6:$C$62,0))</f>
        <v>2.0661157024793391</v>
      </c>
      <c r="Q68" s="15">
        <f>INDEX('Values and minus percentages'!$G$6:$G$62,MATCH('Wholesale tariffs - multiplay'!Q62,'Values and minus percentages'!$C$6:$C$62,0))</f>
        <v>2.0661157024793391</v>
      </c>
      <c r="R68" s="15">
        <f>INDEX('Values and minus percentages'!$G$6:$G$62,MATCH('Wholesale tariffs - multiplay'!R62,'Values and minus percentages'!$C$6:$C$62,0))</f>
        <v>2.0661157024793391</v>
      </c>
      <c r="S68" s="15"/>
      <c r="T68" s="15">
        <f>INDEX('Values and minus percentages'!$G$6:$G$62,MATCH('Wholesale tariffs - multiplay'!T62,'Values and minus percentages'!$C$6:$C$62,0))</f>
        <v>2.0661157024793391</v>
      </c>
      <c r="U68" s="15">
        <f>INDEX('Values and minus percentages'!$G$6:$G$62,MATCH('Wholesale tariffs - multiplay'!U62,'Values and minus percentages'!$C$6:$C$62,0))</f>
        <v>2.0661157024793391</v>
      </c>
      <c r="V68" s="15">
        <f>INDEX('Values and minus percentages'!$G$6:$G$62,MATCH('Wholesale tariffs - multiplay'!V62,'Values and minus percentages'!$C$6:$C$62,0))</f>
        <v>2.0661157024793391</v>
      </c>
      <c r="W68" s="15">
        <f>INDEX('Values and minus percentages'!$G$6:$G$62,MATCH('Wholesale tariffs - multiplay'!W62,'Values and minus percentages'!$C$6:$C$62,0))</f>
        <v>2.0661157024793391</v>
      </c>
      <c r="X68" s="15">
        <f>INDEX('Values and minus percentages'!$G$6:$G$62,MATCH('Wholesale tariffs - multiplay'!X62,'Values and minus percentages'!$C$6:$C$62,0))</f>
        <v>2.0661157024793391</v>
      </c>
      <c r="Y68" s="15">
        <f>INDEX('Values and minus percentages'!$G$6:$G$62,MATCH('Wholesale tariffs - multiplay'!Y62,'Values and minus percentages'!$C$6:$C$62,0))</f>
        <v>2.0661157024793391</v>
      </c>
      <c r="Z68" s="15">
        <f>INDEX('Values and minus percentages'!$G$6:$G$62,MATCH('Wholesale tariffs - multiplay'!Z62,'Values and minus percentages'!$C$6:$C$62,0))</f>
        <v>2.0661157024793391</v>
      </c>
      <c r="AA68" s="15">
        <f>INDEX('Values and minus percentages'!$G$6:$G$62,MATCH('Wholesale tariffs - multiplay'!AA62,'Values and minus percentages'!$C$6:$C$62,0))</f>
        <v>2.0661157024793391</v>
      </c>
      <c r="AB68" s="15">
        <f>INDEX('Values and minus percentages'!$G$6:$G$62,MATCH('Wholesale tariffs - multiplay'!AB62,'Values and minus percentages'!$C$6:$C$62,0))</f>
        <v>2.0661157024793391</v>
      </c>
      <c r="AC68" s="15">
        <f>INDEX('Values and minus percentages'!$G$6:$G$62,MATCH('Wholesale tariffs - multiplay'!AC62,'Values and minus percentages'!$C$6:$C$62,0))</f>
        <v>2.0661157024793391</v>
      </c>
      <c r="AD68" s="15"/>
      <c r="AE68" s="15">
        <f>INDEX('Values and minus percentages'!$G$6:$G$62,MATCH('Wholesale tariffs - multiplay'!AE62,'Values and minus percentages'!$C$6:$C$62,0))</f>
        <v>0</v>
      </c>
      <c r="AF68" s="15">
        <f>INDEX('Values and minus percentages'!$G$6:$G$62,MATCH('Wholesale tariffs - multiplay'!AF62,'Values and minus percentages'!$C$6:$C$62,0))</f>
        <v>0</v>
      </c>
      <c r="AG68" s="15">
        <f>INDEX('Values and minus percentages'!$G$6:$G$62,MATCH('Wholesale tariffs - multiplay'!AG62,'Values and minus percentages'!$C$6:$C$62,0))</f>
        <v>0</v>
      </c>
    </row>
    <row r="69" spans="1:33" s="41" customFormat="1" x14ac:dyDescent="0.2"/>
    <row r="70" spans="1:33" s="41" customFormat="1" x14ac:dyDescent="0.2">
      <c r="C70" s="59" t="s">
        <v>273</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s="41" customFormat="1" x14ac:dyDescent="0.2">
      <c r="F71" s="107"/>
      <c r="G71" s="15"/>
      <c r="I71" s="15"/>
      <c r="J71" s="15"/>
      <c r="K71" s="15"/>
      <c r="L71" s="15"/>
      <c r="M71" s="15"/>
      <c r="N71" s="15"/>
      <c r="O71" s="15"/>
      <c r="P71" s="15"/>
      <c r="Q71" s="15"/>
      <c r="R71" s="15"/>
      <c r="T71" s="15"/>
      <c r="U71" s="15"/>
      <c r="V71" s="15"/>
      <c r="W71" s="15"/>
      <c r="X71" s="15"/>
      <c r="Y71" s="15"/>
      <c r="Z71" s="15"/>
      <c r="AA71" s="15"/>
      <c r="AB71" s="15"/>
      <c r="AC71" s="15"/>
      <c r="AE71" s="15"/>
      <c r="AF71" s="15"/>
      <c r="AG71" s="15"/>
    </row>
    <row r="72" spans="1:33" s="41" customFormat="1" x14ac:dyDescent="0.2">
      <c r="C72" s="78" t="s">
        <v>225</v>
      </c>
      <c r="E72" s="114">
        <f t="shared" ref="E72:AG72" si="69">E54-E64*(1+E52)</f>
        <v>23.846519731145943</v>
      </c>
      <c r="F72" s="114">
        <f t="shared" si="69"/>
        <v>27.432850614084767</v>
      </c>
      <c r="G72" s="114">
        <f t="shared" si="69"/>
        <v>36.736459508465032</v>
      </c>
      <c r="H72" s="114">
        <f t="shared" si="69"/>
        <v>0</v>
      </c>
      <c r="I72" s="114">
        <f t="shared" si="69"/>
        <v>20.364438480312021</v>
      </c>
      <c r="J72" s="114">
        <f t="shared" si="69"/>
        <v>28.337329037268958</v>
      </c>
      <c r="K72" s="114">
        <f t="shared" si="69"/>
        <v>34.970069326197248</v>
      </c>
      <c r="L72" s="114">
        <f t="shared" si="69"/>
        <v>43.03976388157821</v>
      </c>
      <c r="M72" s="114">
        <f t="shared" si="69"/>
        <v>59.14293922280892</v>
      </c>
      <c r="N72" s="114">
        <f t="shared" si="69"/>
        <v>21.173124969459472</v>
      </c>
      <c r="O72" s="114">
        <f t="shared" si="69"/>
        <v>29.027370577053112</v>
      </c>
      <c r="P72" s="114">
        <f t="shared" si="69"/>
        <v>31.487400313915863</v>
      </c>
      <c r="Q72" s="114">
        <f t="shared" si="69"/>
        <v>39.124876924277466</v>
      </c>
      <c r="R72" s="114">
        <f t="shared" si="69"/>
        <v>54.418625563385689</v>
      </c>
      <c r="S72" s="114">
        <f t="shared" si="69"/>
        <v>0</v>
      </c>
      <c r="T72" s="114">
        <f t="shared" si="69"/>
        <v>20.364438480312021</v>
      </c>
      <c r="U72" s="114">
        <f t="shared" si="69"/>
        <v>28.337329037268958</v>
      </c>
      <c r="V72" s="114">
        <f t="shared" si="69"/>
        <v>34.970069326197248</v>
      </c>
      <c r="W72" s="114">
        <f t="shared" si="69"/>
        <v>43.03976388157821</v>
      </c>
      <c r="X72" s="114">
        <f t="shared" si="69"/>
        <v>59.14293922280892</v>
      </c>
      <c r="Y72" s="114">
        <f t="shared" si="69"/>
        <v>21.173124969459472</v>
      </c>
      <c r="Z72" s="114">
        <f t="shared" si="69"/>
        <v>29.027370577053112</v>
      </c>
      <c r="AA72" s="114">
        <f t="shared" si="69"/>
        <v>31.487400313915863</v>
      </c>
      <c r="AB72" s="114">
        <f t="shared" si="69"/>
        <v>39.124876924277466</v>
      </c>
      <c r="AC72" s="114">
        <f t="shared" si="69"/>
        <v>54.418625563385689</v>
      </c>
      <c r="AD72" s="114">
        <f t="shared" si="69"/>
        <v>0</v>
      </c>
      <c r="AE72" s="114">
        <f t="shared" si="69"/>
        <v>19.942028985507243</v>
      </c>
      <c r="AF72" s="114">
        <f t="shared" si="69"/>
        <v>26.09027336300063</v>
      </c>
      <c r="AG72" s="114">
        <f t="shared" si="69"/>
        <v>29.373002754820941</v>
      </c>
    </row>
    <row r="73" spans="1:33" s="41" customFormat="1" x14ac:dyDescent="0.2">
      <c r="C73" s="95" t="s">
        <v>226</v>
      </c>
      <c r="E73" s="100">
        <v>39.413223140495859</v>
      </c>
      <c r="F73" s="100">
        <v>38.804296368192205</v>
      </c>
      <c r="G73" s="100">
        <v>48.056333277112515</v>
      </c>
      <c r="I73" s="100">
        <v>32.21917355371901</v>
      </c>
      <c r="J73" s="100">
        <v>40.483636363636371</v>
      </c>
      <c r="K73" s="100">
        <v>48.748099173553719</v>
      </c>
      <c r="L73" s="100">
        <v>57.01256198347108</v>
      </c>
      <c r="M73" s="100">
        <v>73.541487603305796</v>
      </c>
      <c r="N73" s="100">
        <v>32.498706075183954</v>
      </c>
      <c r="O73" s="100">
        <v>40.697683356369474</v>
      </c>
      <c r="P73" s="100">
        <v>43.144925373186041</v>
      </c>
      <c r="Q73" s="100">
        <v>51.179741284334376</v>
      </c>
      <c r="R73" s="100">
        <v>67.158252296036878</v>
      </c>
      <c r="T73" s="100">
        <v>32.21917355371901</v>
      </c>
      <c r="U73" s="100">
        <v>40.483636363636371</v>
      </c>
      <c r="V73" s="100">
        <v>48.748099173553719</v>
      </c>
      <c r="W73" s="100">
        <v>57.01256198347108</v>
      </c>
      <c r="X73" s="100">
        <v>73.541487603305796</v>
      </c>
      <c r="Y73" s="100">
        <v>32.498706075183954</v>
      </c>
      <c r="Z73" s="100">
        <v>40.697683356369474</v>
      </c>
      <c r="AA73" s="100">
        <v>43.144925373186041</v>
      </c>
      <c r="AB73" s="100">
        <v>51.179741284334376</v>
      </c>
      <c r="AC73" s="100">
        <v>67.158252296036878</v>
      </c>
      <c r="AE73" s="100">
        <v>28.86538695254767</v>
      </c>
      <c r="AF73" s="100">
        <v>35.314446351589289</v>
      </c>
      <c r="AG73" s="100">
        <v>37.113875066039903</v>
      </c>
    </row>
    <row r="74" spans="1:33" s="41" customFormat="1" x14ac:dyDescent="0.2">
      <c r="C74" s="95" t="s">
        <v>227</v>
      </c>
      <c r="E74" s="96">
        <f>E72/E73-1</f>
        <v>-0.39496144108436571</v>
      </c>
      <c r="F74" s="96">
        <f t="shared" ref="F74:AG74" si="70">F72/F73-1</f>
        <v>-0.29304604949436952</v>
      </c>
      <c r="G74" s="96">
        <f t="shared" si="70"/>
        <v>-0.2355542546988022</v>
      </c>
      <c r="H74" s="96" t="e">
        <f t="shared" si="70"/>
        <v>#DIV/0!</v>
      </c>
      <c r="I74" s="96">
        <f t="shared" si="70"/>
        <v>-0.36794038349995528</v>
      </c>
      <c r="J74" s="96">
        <f t="shared" si="70"/>
        <v>-0.30003004713473802</v>
      </c>
      <c r="K74" s="96">
        <f t="shared" si="70"/>
        <v>-0.2826372736771483</v>
      </c>
      <c r="L74" s="96">
        <f t="shared" si="70"/>
        <v>-0.24508279606771266</v>
      </c>
      <c r="M74" s="96">
        <f t="shared" si="70"/>
        <v>-0.19578810341945874</v>
      </c>
      <c r="N74" s="96">
        <f t="shared" si="70"/>
        <v>-0.34849329322599421</v>
      </c>
      <c r="O74" s="96">
        <f t="shared" si="70"/>
        <v>-0.28675619388762763</v>
      </c>
      <c r="P74" s="96">
        <f t="shared" si="70"/>
        <v>-0.27019458159765797</v>
      </c>
      <c r="Q74" s="96">
        <f t="shared" si="70"/>
        <v>-0.23553976744596772</v>
      </c>
      <c r="R74" s="96">
        <f t="shared" si="70"/>
        <v>-0.18969562633188086</v>
      </c>
      <c r="S74" s="96" t="e">
        <f t="shared" si="70"/>
        <v>#DIV/0!</v>
      </c>
      <c r="T74" s="96">
        <f t="shared" si="70"/>
        <v>-0.36794038349995528</v>
      </c>
      <c r="U74" s="96">
        <f t="shared" si="70"/>
        <v>-0.30003004713473802</v>
      </c>
      <c r="V74" s="96">
        <f t="shared" si="70"/>
        <v>-0.2826372736771483</v>
      </c>
      <c r="W74" s="96">
        <f t="shared" si="70"/>
        <v>-0.24508279606771266</v>
      </c>
      <c r="X74" s="96">
        <f t="shared" si="70"/>
        <v>-0.19578810341945874</v>
      </c>
      <c r="Y74" s="96">
        <f t="shared" si="70"/>
        <v>-0.34849329322599421</v>
      </c>
      <c r="Z74" s="96">
        <f t="shared" si="70"/>
        <v>-0.28675619388762763</v>
      </c>
      <c r="AA74" s="96">
        <f t="shared" si="70"/>
        <v>-0.27019458159765797</v>
      </c>
      <c r="AB74" s="96">
        <f t="shared" si="70"/>
        <v>-0.23553976744596772</v>
      </c>
      <c r="AC74" s="96">
        <f t="shared" si="70"/>
        <v>-0.18969562633188086</v>
      </c>
      <c r="AD74" s="96" t="e">
        <f t="shared" si="70"/>
        <v>#DIV/0!</v>
      </c>
      <c r="AE74" s="96">
        <f t="shared" si="70"/>
        <v>-0.3091369598373892</v>
      </c>
      <c r="AF74" s="96">
        <f t="shared" si="70"/>
        <v>-0.26120112139811402</v>
      </c>
      <c r="AG74" s="96">
        <f t="shared" si="70"/>
        <v>-0.20857084574017026</v>
      </c>
    </row>
    <row r="75" spans="1:33" x14ac:dyDescent="0.2">
      <c r="B75" s="41"/>
    </row>
    <row r="76" spans="1:33" s="41" customFormat="1" x14ac:dyDescent="0.2">
      <c r="C76" s="78" t="s">
        <v>228</v>
      </c>
    </row>
    <row r="77" spans="1:33" outlineLevel="1" x14ac:dyDescent="0.2">
      <c r="A77" s="41"/>
      <c r="C77" s="112" t="s">
        <v>226</v>
      </c>
      <c r="E77" s="102">
        <f>E73</f>
        <v>39.413223140495859</v>
      </c>
      <c r="F77" s="102">
        <f>F73</f>
        <v>38.804296368192205</v>
      </c>
      <c r="G77" s="102">
        <f>G73</f>
        <v>48.056333277112515</v>
      </c>
      <c r="I77" s="102">
        <f t="shared" ref="I77:R77" si="71">I73</f>
        <v>32.21917355371901</v>
      </c>
      <c r="J77" s="102">
        <f t="shared" si="71"/>
        <v>40.483636363636371</v>
      </c>
      <c r="K77" s="102">
        <f t="shared" si="71"/>
        <v>48.748099173553719</v>
      </c>
      <c r="L77" s="102">
        <f t="shared" si="71"/>
        <v>57.01256198347108</v>
      </c>
      <c r="M77" s="102">
        <f t="shared" si="71"/>
        <v>73.541487603305796</v>
      </c>
      <c r="N77" s="102">
        <f t="shared" si="71"/>
        <v>32.498706075183954</v>
      </c>
      <c r="O77" s="102">
        <f t="shared" si="71"/>
        <v>40.697683356369474</v>
      </c>
      <c r="P77" s="102">
        <f t="shared" si="71"/>
        <v>43.144925373186041</v>
      </c>
      <c r="Q77" s="102">
        <f t="shared" si="71"/>
        <v>51.179741284334376</v>
      </c>
      <c r="R77" s="102">
        <f t="shared" si="71"/>
        <v>67.158252296036878</v>
      </c>
      <c r="T77" s="102">
        <f t="shared" ref="T77:AC77" si="72">T73</f>
        <v>32.21917355371901</v>
      </c>
      <c r="U77" s="102">
        <f t="shared" si="72"/>
        <v>40.483636363636371</v>
      </c>
      <c r="V77" s="102">
        <f t="shared" si="72"/>
        <v>48.748099173553719</v>
      </c>
      <c r="W77" s="102">
        <f t="shared" si="72"/>
        <v>57.01256198347108</v>
      </c>
      <c r="X77" s="102">
        <f t="shared" si="72"/>
        <v>73.541487603305796</v>
      </c>
      <c r="Y77" s="102">
        <f t="shared" si="72"/>
        <v>32.498706075183954</v>
      </c>
      <c r="Z77" s="102">
        <f t="shared" si="72"/>
        <v>40.697683356369474</v>
      </c>
      <c r="AA77" s="102">
        <f t="shared" si="72"/>
        <v>43.144925373186041</v>
      </c>
      <c r="AB77" s="102">
        <f t="shared" si="72"/>
        <v>51.179741284334376</v>
      </c>
      <c r="AC77" s="102">
        <f t="shared" si="72"/>
        <v>67.158252296036878</v>
      </c>
      <c r="AE77" s="102">
        <f>AE73</f>
        <v>28.86538695254767</v>
      </c>
      <c r="AF77" s="102">
        <f>AF73</f>
        <v>35.314446351589289</v>
      </c>
      <c r="AG77" s="102">
        <f>AG73</f>
        <v>37.113875066039903</v>
      </c>
    </row>
    <row r="78" spans="1:33" s="41" customFormat="1" outlineLevel="1" x14ac:dyDescent="0.2">
      <c r="C78" s="112" t="s">
        <v>274</v>
      </c>
      <c r="E78" s="83">
        <f>E80-(E79+E77)</f>
        <v>4.5351239669421517</v>
      </c>
      <c r="F78" s="83">
        <f>F80-(F79+F77)</f>
        <v>15.41264578056812</v>
      </c>
      <c r="G78" s="83">
        <f>G80-(G79+G77)</f>
        <v>14.79697250801145</v>
      </c>
      <c r="I78" s="83">
        <f t="shared" ref="I78:R78" si="73">I80-(I79+I77)</f>
        <v>-4.2975206611544081E-3</v>
      </c>
      <c r="J78" s="83">
        <f t="shared" si="73"/>
        <v>-4.2975206611615135E-3</v>
      </c>
      <c r="K78" s="83">
        <f t="shared" si="73"/>
        <v>-4.2975206611544081E-3</v>
      </c>
      <c r="L78" s="83">
        <f t="shared" si="73"/>
        <v>-4.2975206611615135E-3</v>
      </c>
      <c r="M78" s="83">
        <f t="shared" si="73"/>
        <v>-4.2975206611544081E-3</v>
      </c>
      <c r="N78" s="83">
        <f t="shared" si="73"/>
        <v>6.3277402058077854</v>
      </c>
      <c r="O78" s="83">
        <f t="shared" si="73"/>
        <v>6.3932257345396195</v>
      </c>
      <c r="P78" s="83">
        <f t="shared" si="73"/>
        <v>12.210446527640407</v>
      </c>
      <c r="Q78" s="83">
        <f t="shared" si="73"/>
        <v>12.440093426409433</v>
      </c>
      <c r="R78" s="83">
        <f t="shared" si="73"/>
        <v>12.990508034541648</v>
      </c>
      <c r="T78" s="83">
        <f t="shared" ref="T78:AC78" si="74">T80-(T79+T77)</f>
        <v>-4.2975206611544081E-3</v>
      </c>
      <c r="U78" s="83">
        <f t="shared" si="74"/>
        <v>-4.2975206611615135E-3</v>
      </c>
      <c r="V78" s="83">
        <f t="shared" si="74"/>
        <v>-4.2975206611544081E-3</v>
      </c>
      <c r="W78" s="83">
        <f t="shared" si="74"/>
        <v>-4.2975206611615135E-3</v>
      </c>
      <c r="X78" s="83">
        <f t="shared" si="74"/>
        <v>-4.2975206611544081E-3</v>
      </c>
      <c r="Y78" s="83">
        <f t="shared" si="74"/>
        <v>6.3277402058077854</v>
      </c>
      <c r="Z78" s="83">
        <f t="shared" si="74"/>
        <v>6.3932257345396195</v>
      </c>
      <c r="AA78" s="83">
        <f t="shared" si="74"/>
        <v>12.210446527640407</v>
      </c>
      <c r="AB78" s="83">
        <f t="shared" si="74"/>
        <v>12.440093426409433</v>
      </c>
      <c r="AC78" s="83">
        <f t="shared" si="74"/>
        <v>12.990508034541648</v>
      </c>
      <c r="AE78" s="83">
        <f>AE80-(AE79+AE77)</f>
        <v>7.8288279234853917</v>
      </c>
      <c r="AF78" s="83">
        <f>AF80-(AF79+AF77)</f>
        <v>9.6442313343611232</v>
      </c>
      <c r="AG78" s="83">
        <f>AG80-(AG79+AG77)</f>
        <v>16.109265429827872</v>
      </c>
    </row>
    <row r="79" spans="1:33" outlineLevel="1" x14ac:dyDescent="0.2">
      <c r="A79" s="41"/>
      <c r="C79" s="112" t="s">
        <v>261</v>
      </c>
      <c r="E79" s="102">
        <f>-E32</f>
        <v>3.3057851239669422</v>
      </c>
      <c r="F79" s="102">
        <f>-F32</f>
        <v>3.3057851239669422</v>
      </c>
      <c r="G79" s="102">
        <f>-G32</f>
        <v>3.3057851239669422</v>
      </c>
      <c r="I79" s="102">
        <f t="shared" ref="I79:R79" si="75">-I32</f>
        <v>3.2809917355371905</v>
      </c>
      <c r="J79" s="102">
        <f t="shared" si="75"/>
        <v>3.2809917355371905</v>
      </c>
      <c r="K79" s="102">
        <f t="shared" si="75"/>
        <v>3.2809917355371905</v>
      </c>
      <c r="L79" s="102">
        <f t="shared" si="75"/>
        <v>3.2809917355371905</v>
      </c>
      <c r="M79" s="102">
        <f t="shared" si="75"/>
        <v>3.2809917355371905</v>
      </c>
      <c r="N79" s="102">
        <f t="shared" si="75"/>
        <v>3.2809917355371905</v>
      </c>
      <c r="O79" s="102">
        <f t="shared" si="75"/>
        <v>3.2809917355371905</v>
      </c>
      <c r="P79" s="102">
        <f t="shared" si="75"/>
        <v>3.2809917355371905</v>
      </c>
      <c r="Q79" s="102">
        <f t="shared" si="75"/>
        <v>3.2809917355371905</v>
      </c>
      <c r="R79" s="102">
        <f t="shared" si="75"/>
        <v>3.2809917355371905</v>
      </c>
      <c r="T79" s="102">
        <f t="shared" ref="T79:AC79" si="76">-T32</f>
        <v>3.2809917355371905</v>
      </c>
      <c r="U79" s="102">
        <f t="shared" si="76"/>
        <v>3.2809917355371905</v>
      </c>
      <c r="V79" s="102">
        <f t="shared" si="76"/>
        <v>3.2809917355371905</v>
      </c>
      <c r="W79" s="102">
        <f t="shared" si="76"/>
        <v>3.2809917355371905</v>
      </c>
      <c r="X79" s="102">
        <f t="shared" si="76"/>
        <v>3.2809917355371905</v>
      </c>
      <c r="Y79" s="102">
        <f t="shared" si="76"/>
        <v>3.2809917355371905</v>
      </c>
      <c r="Z79" s="102">
        <f t="shared" si="76"/>
        <v>3.2809917355371905</v>
      </c>
      <c r="AA79" s="102">
        <f t="shared" si="76"/>
        <v>3.2809917355371905</v>
      </c>
      <c r="AB79" s="102">
        <f t="shared" si="76"/>
        <v>3.2809917355371905</v>
      </c>
      <c r="AC79" s="102">
        <f t="shared" si="76"/>
        <v>3.2809917355371905</v>
      </c>
      <c r="AE79" s="102">
        <f>-AE32</f>
        <v>4.5454545454545459</v>
      </c>
      <c r="AF79" s="102">
        <f>-AF32</f>
        <v>4.5454545454545459</v>
      </c>
      <c r="AG79" s="102">
        <f>-AG32</f>
        <v>4.5454545454545459</v>
      </c>
    </row>
    <row r="80" spans="1:33" outlineLevel="1" x14ac:dyDescent="0.2">
      <c r="A80" s="41"/>
      <c r="C80" s="112" t="s">
        <v>275</v>
      </c>
      <c r="E80" s="15">
        <f>E22/(1+VAT.rate)</f>
        <v>47.254132231404952</v>
      </c>
      <c r="F80" s="15">
        <f>F22/(1+VAT.rate)</f>
        <v>57.522727272727266</v>
      </c>
      <c r="G80" s="15">
        <f>G22/(1+VAT.rate)</f>
        <v>66.159090909090907</v>
      </c>
      <c r="I80" s="15">
        <f t="shared" ref="I80:R80" si="77">I22/(1+VAT.rate)</f>
        <v>35.495867768595048</v>
      </c>
      <c r="J80" s="15">
        <f t="shared" si="77"/>
        <v>43.760330578512402</v>
      </c>
      <c r="K80" s="15">
        <f t="shared" si="77"/>
        <v>52.024793388429757</v>
      </c>
      <c r="L80" s="15">
        <f t="shared" si="77"/>
        <v>60.289256198347111</v>
      </c>
      <c r="M80" s="15">
        <f t="shared" si="77"/>
        <v>76.818181818181827</v>
      </c>
      <c r="N80" s="15">
        <f t="shared" si="77"/>
        <v>42.107438016528931</v>
      </c>
      <c r="O80" s="15">
        <f t="shared" si="77"/>
        <v>50.371900826446286</v>
      </c>
      <c r="P80" s="15">
        <f t="shared" si="77"/>
        <v>58.63636363636364</v>
      </c>
      <c r="Q80" s="15">
        <f t="shared" si="77"/>
        <v>66.900826446281002</v>
      </c>
      <c r="R80" s="15">
        <f t="shared" si="77"/>
        <v>83.429752066115711</v>
      </c>
      <c r="T80" s="15">
        <f t="shared" ref="T80:AC80" si="78">T22/(1+VAT.rate)</f>
        <v>35.495867768595048</v>
      </c>
      <c r="U80" s="15">
        <f t="shared" si="78"/>
        <v>43.760330578512402</v>
      </c>
      <c r="V80" s="15">
        <f t="shared" si="78"/>
        <v>52.024793388429757</v>
      </c>
      <c r="W80" s="15">
        <f t="shared" si="78"/>
        <v>60.289256198347111</v>
      </c>
      <c r="X80" s="15">
        <f t="shared" si="78"/>
        <v>76.818181818181827</v>
      </c>
      <c r="Y80" s="15">
        <f t="shared" si="78"/>
        <v>42.107438016528931</v>
      </c>
      <c r="Z80" s="15">
        <f t="shared" si="78"/>
        <v>50.371900826446286</v>
      </c>
      <c r="AA80" s="15">
        <f t="shared" si="78"/>
        <v>58.63636363636364</v>
      </c>
      <c r="AB80" s="15">
        <f t="shared" si="78"/>
        <v>66.900826446281002</v>
      </c>
      <c r="AC80" s="15">
        <f t="shared" si="78"/>
        <v>83.429752066115711</v>
      </c>
      <c r="AE80" s="15">
        <f>AE22/(1+VAT.rate)</f>
        <v>41.239669421487605</v>
      </c>
      <c r="AF80" s="15">
        <f>AF22/(1+VAT.rate)</f>
        <v>49.504132231404959</v>
      </c>
      <c r="AG80" s="15">
        <f>AG22/(1+VAT.rate)</f>
        <v>57.768595041322321</v>
      </c>
    </row>
    <row r="81" spans="1:33" outlineLevel="1" x14ac:dyDescent="0.2">
      <c r="A81" s="41"/>
      <c r="C81" s="112" t="s">
        <v>261</v>
      </c>
      <c r="E81" s="102">
        <f>-E79</f>
        <v>-3.3057851239669422</v>
      </c>
      <c r="F81" s="102">
        <f>-F79</f>
        <v>-3.3057851239669422</v>
      </c>
      <c r="G81" s="102">
        <f>-G79</f>
        <v>-3.3057851239669422</v>
      </c>
      <c r="I81" s="102">
        <f t="shared" ref="I81:R81" si="79">-I79</f>
        <v>-3.2809917355371905</v>
      </c>
      <c r="J81" s="102">
        <f t="shared" si="79"/>
        <v>-3.2809917355371905</v>
      </c>
      <c r="K81" s="102">
        <f t="shared" si="79"/>
        <v>-3.2809917355371905</v>
      </c>
      <c r="L81" s="102">
        <f t="shared" si="79"/>
        <v>-3.2809917355371905</v>
      </c>
      <c r="M81" s="102">
        <f t="shared" si="79"/>
        <v>-3.2809917355371905</v>
      </c>
      <c r="N81" s="102">
        <f t="shared" si="79"/>
        <v>-3.2809917355371905</v>
      </c>
      <c r="O81" s="102">
        <f t="shared" si="79"/>
        <v>-3.2809917355371905</v>
      </c>
      <c r="P81" s="102">
        <f t="shared" si="79"/>
        <v>-3.2809917355371905</v>
      </c>
      <c r="Q81" s="102">
        <f t="shared" si="79"/>
        <v>-3.2809917355371905</v>
      </c>
      <c r="R81" s="102">
        <f t="shared" si="79"/>
        <v>-3.2809917355371905</v>
      </c>
      <c r="T81" s="102">
        <f t="shared" ref="T81:AC81" si="80">-T79</f>
        <v>-3.2809917355371905</v>
      </c>
      <c r="U81" s="102">
        <f t="shared" si="80"/>
        <v>-3.2809917355371905</v>
      </c>
      <c r="V81" s="102">
        <f t="shared" si="80"/>
        <v>-3.2809917355371905</v>
      </c>
      <c r="W81" s="102">
        <f t="shared" si="80"/>
        <v>-3.2809917355371905</v>
      </c>
      <c r="X81" s="102">
        <f t="shared" si="80"/>
        <v>-3.2809917355371905</v>
      </c>
      <c r="Y81" s="102">
        <f t="shared" si="80"/>
        <v>-3.2809917355371905</v>
      </c>
      <c r="Z81" s="102">
        <f t="shared" si="80"/>
        <v>-3.2809917355371905</v>
      </c>
      <c r="AA81" s="102">
        <f t="shared" si="80"/>
        <v>-3.2809917355371905</v>
      </c>
      <c r="AB81" s="102">
        <f t="shared" si="80"/>
        <v>-3.2809917355371905</v>
      </c>
      <c r="AC81" s="102">
        <f t="shared" si="80"/>
        <v>-3.2809917355371905</v>
      </c>
      <c r="AE81" s="102">
        <f>-AE79</f>
        <v>-4.5454545454545459</v>
      </c>
      <c r="AF81" s="102">
        <f>-AF79</f>
        <v>-4.5454545454545459</v>
      </c>
      <c r="AG81" s="102">
        <f>-AG79</f>
        <v>-4.5454545454545459</v>
      </c>
    </row>
    <row r="82" spans="1:33" outlineLevel="1" x14ac:dyDescent="0.2">
      <c r="A82" s="41"/>
      <c r="C82" s="112" t="s">
        <v>229</v>
      </c>
      <c r="E82" s="15">
        <f>-E20/(1+VAT.rate)</f>
        <v>-7.1900826446280988</v>
      </c>
      <c r="F82" s="15">
        <f>-F20/(1+VAT.rate)</f>
        <v>-7.1900826446280988</v>
      </c>
      <c r="G82" s="15">
        <f>-G20/(1+VAT.rate)</f>
        <v>-7.1900826446280988</v>
      </c>
      <c r="I82" s="15">
        <f t="shared" ref="I82:R82" si="81">-I20/(1+VAT.rate)</f>
        <v>-6.1570247933884303</v>
      </c>
      <c r="J82" s="15">
        <f t="shared" si="81"/>
        <v>-6.1570247933884303</v>
      </c>
      <c r="K82" s="15">
        <f t="shared" si="81"/>
        <v>-6.1570247933884303</v>
      </c>
      <c r="L82" s="15">
        <f t="shared" si="81"/>
        <v>-6.1570247933884303</v>
      </c>
      <c r="M82" s="15">
        <f t="shared" si="81"/>
        <v>-6.1570247933884303</v>
      </c>
      <c r="N82" s="15">
        <f t="shared" si="81"/>
        <v>-6.1570247933884303</v>
      </c>
      <c r="O82" s="15">
        <f t="shared" si="81"/>
        <v>-6.1570247933884303</v>
      </c>
      <c r="P82" s="15">
        <f t="shared" si="81"/>
        <v>-6.1570247933884303</v>
      </c>
      <c r="Q82" s="15">
        <f t="shared" si="81"/>
        <v>-6.1570247933884303</v>
      </c>
      <c r="R82" s="15">
        <f t="shared" si="81"/>
        <v>-6.1570247933884303</v>
      </c>
      <c r="T82" s="15">
        <f t="shared" ref="T82:AC82" si="82">-T20/(1+VAT.rate)</f>
        <v>-6.1570247933884303</v>
      </c>
      <c r="U82" s="15">
        <f t="shared" si="82"/>
        <v>-6.1570247933884303</v>
      </c>
      <c r="V82" s="15">
        <f t="shared" si="82"/>
        <v>-6.1570247933884303</v>
      </c>
      <c r="W82" s="15">
        <f t="shared" si="82"/>
        <v>-6.1570247933884303</v>
      </c>
      <c r="X82" s="15">
        <f t="shared" si="82"/>
        <v>-6.1570247933884303</v>
      </c>
      <c r="Y82" s="15">
        <f t="shared" si="82"/>
        <v>-6.1570247933884303</v>
      </c>
      <c r="Z82" s="15">
        <f t="shared" si="82"/>
        <v>-6.1570247933884303</v>
      </c>
      <c r="AA82" s="15">
        <f t="shared" si="82"/>
        <v>-6.1570247933884303</v>
      </c>
      <c r="AB82" s="15">
        <f t="shared" si="82"/>
        <v>-6.1570247933884303</v>
      </c>
      <c r="AC82" s="15">
        <f t="shared" si="82"/>
        <v>-6.1570247933884303</v>
      </c>
      <c r="AE82" s="15">
        <f>-AE20/(1+VAT.rate)</f>
        <v>-8.2644628099173563</v>
      </c>
      <c r="AF82" s="15">
        <f>-AF20/(1+VAT.rate)</f>
        <v>-8.2644628099173563</v>
      </c>
      <c r="AG82" s="15">
        <f>-AG20/(1+VAT.rate)</f>
        <v>-8.2644628099173563</v>
      </c>
    </row>
    <row r="83" spans="1:33" outlineLevel="1" x14ac:dyDescent="0.2">
      <c r="A83" s="41"/>
      <c r="C83" s="112" t="s">
        <v>276</v>
      </c>
      <c r="E83" s="15">
        <f>-((E80+E81+E82)-E72)</f>
        <v>-12.911744731663969</v>
      </c>
      <c r="F83" s="15">
        <f t="shared" ref="F83:AG83" si="83">-((F80+F81+F82)-F72)</f>
        <v>-19.594008890047458</v>
      </c>
      <c r="G83" s="15">
        <f t="shared" si="83"/>
        <v>-18.926763632030834</v>
      </c>
      <c r="H83" s="15">
        <f t="shared" si="83"/>
        <v>0</v>
      </c>
      <c r="I83" s="15">
        <f t="shared" si="83"/>
        <v>-5.693412759357404</v>
      </c>
      <c r="J83" s="15">
        <f t="shared" si="83"/>
        <v>-5.9849850123178214</v>
      </c>
      <c r="K83" s="15">
        <f t="shared" si="83"/>
        <v>-7.6167075333068865</v>
      </c>
      <c r="L83" s="15">
        <f t="shared" si="83"/>
        <v>-7.8114757878432783</v>
      </c>
      <c r="M83" s="15">
        <f t="shared" si="83"/>
        <v>-8.2372260664472918</v>
      </c>
      <c r="N83" s="15">
        <f t="shared" si="83"/>
        <v>-11.496296518143836</v>
      </c>
      <c r="O83" s="15">
        <f t="shared" si="83"/>
        <v>-11.906513720467551</v>
      </c>
      <c r="P83" s="15">
        <f t="shared" si="83"/>
        <v>-17.710946793522155</v>
      </c>
      <c r="Q83" s="15">
        <f t="shared" si="83"/>
        <v>-18.337932993077914</v>
      </c>
      <c r="R83" s="15">
        <f t="shared" si="83"/>
        <v>-19.573109973804407</v>
      </c>
      <c r="S83" s="15">
        <f t="shared" si="83"/>
        <v>0</v>
      </c>
      <c r="T83" s="15">
        <f t="shared" si="83"/>
        <v>-5.693412759357404</v>
      </c>
      <c r="U83" s="15">
        <f t="shared" si="83"/>
        <v>-5.9849850123178214</v>
      </c>
      <c r="V83" s="15">
        <f t="shared" si="83"/>
        <v>-7.6167075333068865</v>
      </c>
      <c r="W83" s="15">
        <f t="shared" si="83"/>
        <v>-7.8114757878432783</v>
      </c>
      <c r="X83" s="15">
        <f t="shared" si="83"/>
        <v>-8.2372260664472918</v>
      </c>
      <c r="Y83" s="15">
        <f t="shared" si="83"/>
        <v>-11.496296518143836</v>
      </c>
      <c r="Z83" s="15">
        <f t="shared" si="83"/>
        <v>-11.906513720467551</v>
      </c>
      <c r="AA83" s="15">
        <f t="shared" si="83"/>
        <v>-17.710946793522155</v>
      </c>
      <c r="AB83" s="15">
        <f t="shared" si="83"/>
        <v>-18.337932993077914</v>
      </c>
      <c r="AC83" s="15">
        <f t="shared" si="83"/>
        <v>-19.573109973804407</v>
      </c>
      <c r="AD83" s="15">
        <f t="shared" si="83"/>
        <v>0</v>
      </c>
      <c r="AE83" s="15">
        <f t="shared" si="83"/>
        <v>-8.4877230806084611</v>
      </c>
      <c r="AF83" s="15">
        <f t="shared" si="83"/>
        <v>-10.603941513032428</v>
      </c>
      <c r="AG83" s="15">
        <f t="shared" si="83"/>
        <v>-15.585674931129478</v>
      </c>
    </row>
    <row r="84" spans="1:33" s="41" customFormat="1" outlineLevel="1" x14ac:dyDescent="0.2">
      <c r="C84" s="112" t="s">
        <v>277</v>
      </c>
      <c r="E84" s="82">
        <v>0</v>
      </c>
      <c r="F84" s="82">
        <v>0</v>
      </c>
      <c r="G84" s="82">
        <v>0</v>
      </c>
      <c r="I84" s="15">
        <f>-(SUM(I80:I83)-MIN(SUM(I80:I83),SUM(N80:N83)))</f>
        <v>0</v>
      </c>
      <c r="J84" s="15">
        <f t="shared" ref="J84:M84" si="84">-(SUM(J80:J83)-MIN(SUM(J80:J83),SUM(O80:O83)))</f>
        <v>0</v>
      </c>
      <c r="K84" s="15">
        <f t="shared" si="84"/>
        <v>-3.4826690122813844</v>
      </c>
      <c r="L84" s="15">
        <f t="shared" si="84"/>
        <v>-3.9148869573007445</v>
      </c>
      <c r="M84" s="15">
        <f t="shared" si="84"/>
        <v>-4.7243136594232311</v>
      </c>
      <c r="N84" s="82">
        <v>0</v>
      </c>
      <c r="O84" s="82">
        <v>0</v>
      </c>
      <c r="P84" s="82">
        <v>0</v>
      </c>
      <c r="Q84" s="82">
        <v>0</v>
      </c>
      <c r="R84" s="82">
        <v>0</v>
      </c>
      <c r="T84" s="15">
        <f>-(SUM(T80:T83)-MIN(SUM(T80:T83),SUM(Y80:Y83)))</f>
        <v>0</v>
      </c>
      <c r="U84" s="15">
        <f t="shared" ref="U84" si="85">-(SUM(U80:U83)-MIN(SUM(U80:U83),SUM(Z80:Z83)))</f>
        <v>0</v>
      </c>
      <c r="V84" s="15">
        <f t="shared" ref="V84" si="86">-(SUM(V80:V83)-MIN(SUM(V80:V83),SUM(AA80:AA83)))</f>
        <v>-3.4826690122813844</v>
      </c>
      <c r="W84" s="15">
        <f t="shared" ref="W84" si="87">-(SUM(W80:W83)-MIN(SUM(W80:W83),SUM(AB80:AB83)))</f>
        <v>-3.9148869573007445</v>
      </c>
      <c r="X84" s="15">
        <f t="shared" ref="X84" si="88">-(SUM(X80:X83)-MIN(SUM(X80:X83),SUM(AC80:AC83)))</f>
        <v>-4.7243136594232311</v>
      </c>
      <c r="Y84" s="82">
        <v>0</v>
      </c>
      <c r="Z84" s="82">
        <v>0</v>
      </c>
      <c r="AA84" s="82">
        <v>0</v>
      </c>
      <c r="AB84" s="82">
        <v>0</v>
      </c>
      <c r="AC84" s="82">
        <v>0</v>
      </c>
      <c r="AE84" s="82">
        <v>0</v>
      </c>
      <c r="AF84" s="82">
        <v>0</v>
      </c>
      <c r="AG84" s="82">
        <v>0</v>
      </c>
    </row>
    <row r="85" spans="1:33" outlineLevel="1" x14ac:dyDescent="0.2">
      <c r="A85" s="41"/>
      <c r="C85" s="112" t="s">
        <v>278</v>
      </c>
      <c r="E85" s="109">
        <f>SUM(E80:E83)</f>
        <v>23.846519731145943</v>
      </c>
      <c r="F85" s="109">
        <f t="shared" ref="F85" si="89">SUM(F80:F83)</f>
        <v>27.432850614084767</v>
      </c>
      <c r="G85" s="109">
        <f>SUM(G80:G83)</f>
        <v>36.736459508465032</v>
      </c>
      <c r="I85" s="109">
        <f>SUM(I80:I84)</f>
        <v>20.364438480312021</v>
      </c>
      <c r="J85" s="109">
        <f t="shared" ref="J85:M85" si="90">SUM(J80:J84)</f>
        <v>28.337329037268958</v>
      </c>
      <c r="K85" s="109">
        <f t="shared" si="90"/>
        <v>31.487400313915863</v>
      </c>
      <c r="L85" s="109">
        <f t="shared" si="90"/>
        <v>39.124876924277466</v>
      </c>
      <c r="M85" s="109">
        <f t="shared" si="90"/>
        <v>54.418625563385689</v>
      </c>
      <c r="N85" s="109">
        <f t="shared" ref="N85" si="91">SUM(N80:N83)</f>
        <v>21.173124969459472</v>
      </c>
      <c r="O85" s="109">
        <f t="shared" ref="O85" si="92">SUM(O80:O83)</f>
        <v>29.027370577053112</v>
      </c>
      <c r="P85" s="109">
        <f t="shared" ref="P85" si="93">SUM(P80:P83)</f>
        <v>31.487400313915863</v>
      </c>
      <c r="Q85" s="109">
        <f t="shared" ref="Q85" si="94">SUM(Q80:Q83)</f>
        <v>39.124876924277466</v>
      </c>
      <c r="R85" s="109">
        <f t="shared" ref="R85" si="95">SUM(R80:R83)</f>
        <v>54.418625563385689</v>
      </c>
      <c r="T85" s="109">
        <f>SUM(T80:T84)</f>
        <v>20.364438480312021</v>
      </c>
      <c r="U85" s="109">
        <f t="shared" ref="U85:X85" si="96">SUM(U80:U84)</f>
        <v>28.337329037268958</v>
      </c>
      <c r="V85" s="109">
        <f t="shared" si="96"/>
        <v>31.487400313915863</v>
      </c>
      <c r="W85" s="109">
        <f t="shared" si="96"/>
        <v>39.124876924277466</v>
      </c>
      <c r="X85" s="109">
        <f t="shared" si="96"/>
        <v>54.418625563385689</v>
      </c>
      <c r="Y85" s="109">
        <f t="shared" ref="Y85:AC85" si="97">SUM(Y80:Y83)</f>
        <v>21.173124969459472</v>
      </c>
      <c r="Z85" s="109">
        <f t="shared" si="97"/>
        <v>29.027370577053112</v>
      </c>
      <c r="AA85" s="109">
        <f t="shared" si="97"/>
        <v>31.487400313915863</v>
      </c>
      <c r="AB85" s="109">
        <f t="shared" si="97"/>
        <v>39.124876924277466</v>
      </c>
      <c r="AC85" s="109">
        <f t="shared" si="97"/>
        <v>54.418625563385689</v>
      </c>
      <c r="AE85" s="109">
        <f t="shared" ref="AE85" si="98">SUM(AE80:AE83)</f>
        <v>19.942028985507243</v>
      </c>
      <c r="AF85" s="109">
        <f t="shared" ref="AF85" si="99">SUM(AF80:AF83)</f>
        <v>26.09027336300063</v>
      </c>
      <c r="AG85" s="109">
        <f t="shared" ref="AG85" si="100">SUM(AG80:AG83)</f>
        <v>29.373002754820941</v>
      </c>
    </row>
    <row r="86" spans="1:33" outlineLevel="1" x14ac:dyDescent="0.2">
      <c r="A86" s="41"/>
      <c r="I86" s="41"/>
    </row>
    <row r="87" spans="1:33" outlineLevel="1" x14ac:dyDescent="0.2">
      <c r="A87" s="41"/>
      <c r="E87" s="110" t="b">
        <f>E80*(1+VAT.rate)=E22</f>
        <v>1</v>
      </c>
      <c r="F87" s="110" t="b">
        <f>F80*(1+VAT.rate)=F22</f>
        <v>1</v>
      </c>
      <c r="G87" s="110" t="b">
        <f>G80*(1+VAT.rate)=G22</f>
        <v>1</v>
      </c>
      <c r="I87" s="110" t="b">
        <f t="shared" ref="I87:R87" si="101">I80*(1+VAT.rate)=I22</f>
        <v>1</v>
      </c>
      <c r="J87" s="110" t="b">
        <f t="shared" si="101"/>
        <v>1</v>
      </c>
      <c r="K87" s="110" t="b">
        <f t="shared" si="101"/>
        <v>1</v>
      </c>
      <c r="L87" s="110" t="b">
        <f t="shared" si="101"/>
        <v>1</v>
      </c>
      <c r="M87" s="110" t="b">
        <f t="shared" si="101"/>
        <v>1</v>
      </c>
      <c r="N87" s="110" t="b">
        <f t="shared" si="101"/>
        <v>1</v>
      </c>
      <c r="O87" s="110" t="b">
        <f t="shared" si="101"/>
        <v>1</v>
      </c>
      <c r="P87" s="110" t="b">
        <f t="shared" si="101"/>
        <v>1</v>
      </c>
      <c r="Q87" s="110" t="b">
        <f t="shared" si="101"/>
        <v>1</v>
      </c>
      <c r="R87" s="110" t="b">
        <f t="shared" si="101"/>
        <v>1</v>
      </c>
      <c r="T87" s="110" t="b">
        <f t="shared" ref="T87:AC87" si="102">T80*(1+VAT.rate)=T22</f>
        <v>1</v>
      </c>
      <c r="U87" s="110" t="b">
        <f t="shared" si="102"/>
        <v>1</v>
      </c>
      <c r="V87" s="110" t="b">
        <f t="shared" si="102"/>
        <v>1</v>
      </c>
      <c r="W87" s="110" t="b">
        <f t="shared" si="102"/>
        <v>1</v>
      </c>
      <c r="X87" s="110" t="b">
        <f t="shared" si="102"/>
        <v>1</v>
      </c>
      <c r="Y87" s="110" t="b">
        <f t="shared" si="102"/>
        <v>1</v>
      </c>
      <c r="Z87" s="110" t="b">
        <f t="shared" si="102"/>
        <v>1</v>
      </c>
      <c r="AA87" s="110" t="b">
        <f t="shared" si="102"/>
        <v>1</v>
      </c>
      <c r="AB87" s="110" t="b">
        <f t="shared" si="102"/>
        <v>1</v>
      </c>
      <c r="AC87" s="110" t="b">
        <f t="shared" si="102"/>
        <v>1</v>
      </c>
      <c r="AE87" s="110" t="b">
        <f>AE80*(1+VAT.rate)=AE22</f>
        <v>1</v>
      </c>
      <c r="AF87" s="110" t="b">
        <f>AF80*(1+VAT.rate)=AF22</f>
        <v>1</v>
      </c>
      <c r="AG87" s="110" t="b">
        <f>AG80*(1+VAT.rate)=AG22</f>
        <v>1</v>
      </c>
    </row>
    <row r="88" spans="1:33" outlineLevel="1" x14ac:dyDescent="0.2">
      <c r="A88" s="41"/>
      <c r="I88" s="110" t="b">
        <f>IF(I84&lt;&gt;0,I85=N85,TRUE)</f>
        <v>1</v>
      </c>
      <c r="J88" s="110" t="b">
        <f t="shared" ref="J88:M88" si="103">IF(J84&lt;&gt;0,J85=O85,TRUE)</f>
        <v>1</v>
      </c>
      <c r="K88" s="110" t="b">
        <f t="shared" si="103"/>
        <v>1</v>
      </c>
      <c r="L88" s="110" t="b">
        <f t="shared" si="103"/>
        <v>1</v>
      </c>
      <c r="M88" s="110" t="b">
        <f t="shared" si="103"/>
        <v>1</v>
      </c>
      <c r="T88" s="110" t="b">
        <f>IF(T84&lt;&gt;0,T85=Y85,TRUE)</f>
        <v>1</v>
      </c>
      <c r="U88" s="110" t="b">
        <f t="shared" ref="U88" si="104">IF(U84&lt;&gt;0,U85=Z85,TRUE)</f>
        <v>1</v>
      </c>
      <c r="V88" s="110" t="b">
        <f t="shared" ref="V88" si="105">IF(V84&lt;&gt;0,V85=AA85,TRUE)</f>
        <v>1</v>
      </c>
      <c r="W88" s="110" t="b">
        <f t="shared" ref="W88" si="106">IF(W84&lt;&gt;0,W85=AB85,TRUE)</f>
        <v>1</v>
      </c>
      <c r="X88" s="110" t="b">
        <f t="shared" ref="X88" si="107">IF(X84&lt;&gt;0,X85=AC85,TRUE)</f>
        <v>1</v>
      </c>
    </row>
    <row r="89" spans="1:33" outlineLevel="1" x14ac:dyDescent="0.2"/>
    <row r="90" spans="1:33" s="41" customFormat="1" outlineLevel="1" x14ac:dyDescent="0.2">
      <c r="C90" s="78" t="s">
        <v>279</v>
      </c>
      <c r="E90" s="116" t="b">
        <f t="shared" ref="E90:F90" si="108">ABS(SUM(E91:E97)-E83)&lt;0.001</f>
        <v>1</v>
      </c>
      <c r="F90" s="116" t="b">
        <f t="shared" si="108"/>
        <v>1</v>
      </c>
      <c r="G90" s="116" t="b">
        <f>ABS(SUM(G91:G97)-G83)&lt;0.001</f>
        <v>1</v>
      </c>
      <c r="H90" s="116" t="b">
        <f t="shared" ref="H90:AG90" si="109">ABS(SUM(H91:H97)-H83)&lt;0.001</f>
        <v>1</v>
      </c>
      <c r="I90" s="116" t="b">
        <f t="shared" si="109"/>
        <v>1</v>
      </c>
      <c r="J90" s="116" t="b">
        <f t="shared" si="109"/>
        <v>1</v>
      </c>
      <c r="K90" s="116" t="b">
        <f t="shared" si="109"/>
        <v>1</v>
      </c>
      <c r="L90" s="116" t="b">
        <f t="shared" si="109"/>
        <v>1</v>
      </c>
      <c r="M90" s="116" t="b">
        <f t="shared" si="109"/>
        <v>1</v>
      </c>
      <c r="N90" s="116" t="b">
        <f t="shared" si="109"/>
        <v>1</v>
      </c>
      <c r="O90" s="116" t="b">
        <f t="shared" si="109"/>
        <v>1</v>
      </c>
      <c r="P90" s="116" t="b">
        <f t="shared" si="109"/>
        <v>1</v>
      </c>
      <c r="Q90" s="116" t="b">
        <f t="shared" si="109"/>
        <v>1</v>
      </c>
      <c r="R90" s="116" t="b">
        <f t="shared" si="109"/>
        <v>1</v>
      </c>
      <c r="S90" s="116" t="b">
        <f t="shared" si="109"/>
        <v>1</v>
      </c>
      <c r="T90" s="116" t="b">
        <f t="shared" si="109"/>
        <v>1</v>
      </c>
      <c r="U90" s="116" t="b">
        <f t="shared" si="109"/>
        <v>1</v>
      </c>
      <c r="V90" s="116" t="b">
        <f t="shared" si="109"/>
        <v>1</v>
      </c>
      <c r="W90" s="116" t="b">
        <f t="shared" si="109"/>
        <v>1</v>
      </c>
      <c r="X90" s="116" t="b">
        <f t="shared" si="109"/>
        <v>1</v>
      </c>
      <c r="Y90" s="116" t="b">
        <f t="shared" si="109"/>
        <v>1</v>
      </c>
      <c r="Z90" s="116" t="b">
        <f t="shared" si="109"/>
        <v>1</v>
      </c>
      <c r="AA90" s="116" t="b">
        <f t="shared" si="109"/>
        <v>1</v>
      </c>
      <c r="AB90" s="116" t="b">
        <f t="shared" si="109"/>
        <v>1</v>
      </c>
      <c r="AC90" s="116" t="b">
        <f t="shared" si="109"/>
        <v>1</v>
      </c>
      <c r="AD90" s="116" t="b">
        <f t="shared" si="109"/>
        <v>1</v>
      </c>
      <c r="AE90" s="116" t="b">
        <f t="shared" si="109"/>
        <v>1</v>
      </c>
      <c r="AF90" s="116" t="b">
        <f t="shared" si="109"/>
        <v>1</v>
      </c>
      <c r="AG90" s="116" t="b">
        <f t="shared" si="109"/>
        <v>1</v>
      </c>
    </row>
    <row r="91" spans="1:33" s="41" customFormat="1" outlineLevel="1" x14ac:dyDescent="0.2">
      <c r="C91" s="95" t="s">
        <v>280</v>
      </c>
      <c r="E91" s="15">
        <f t="shared" ref="E91:F91" si="110">-SUM(E46:E47)*(1+E$52)</f>
        <v>0</v>
      </c>
      <c r="F91" s="15">
        <f t="shared" si="110"/>
        <v>-10.7472983990908</v>
      </c>
      <c r="G91" s="15">
        <f>-SUM(G46:G47)*(1+G$52)</f>
        <v>-10.381314902118648</v>
      </c>
      <c r="H91" s="15">
        <f t="shared" ref="H91:AG91" si="111">-SUM(H46:H47)*(1+H$52)</f>
        <v>0</v>
      </c>
      <c r="I91" s="15">
        <f t="shared" si="111"/>
        <v>0</v>
      </c>
      <c r="J91" s="15">
        <f t="shared" si="111"/>
        <v>0</v>
      </c>
      <c r="K91" s="15">
        <f t="shared" si="111"/>
        <v>0</v>
      </c>
      <c r="L91" s="15">
        <f t="shared" si="111"/>
        <v>0</v>
      </c>
      <c r="M91" s="15">
        <f t="shared" si="111"/>
        <v>0</v>
      </c>
      <c r="N91" s="15">
        <f t="shared" si="111"/>
        <v>-5.5767942459288484</v>
      </c>
      <c r="O91" s="15">
        <f t="shared" si="111"/>
        <v>-5.7757884985465839</v>
      </c>
      <c r="P91" s="15">
        <f t="shared" si="111"/>
        <v>-10.852787121657066</v>
      </c>
      <c r="Q91" s="15">
        <f t="shared" si="111"/>
        <v>-11.236987234238525</v>
      </c>
      <c r="R91" s="15">
        <f t="shared" si="111"/>
        <v>-11.993870137545462</v>
      </c>
      <c r="S91" s="15">
        <f t="shared" si="111"/>
        <v>0</v>
      </c>
      <c r="T91" s="15">
        <f t="shared" si="111"/>
        <v>0</v>
      </c>
      <c r="U91" s="15">
        <f t="shared" si="111"/>
        <v>0</v>
      </c>
      <c r="V91" s="15">
        <f t="shared" si="111"/>
        <v>0</v>
      </c>
      <c r="W91" s="15">
        <f t="shared" si="111"/>
        <v>0</v>
      </c>
      <c r="X91" s="15">
        <f t="shared" si="111"/>
        <v>0</v>
      </c>
      <c r="Y91" s="15">
        <f t="shared" si="111"/>
        <v>-5.5767942459288484</v>
      </c>
      <c r="Z91" s="15">
        <f t="shared" si="111"/>
        <v>-5.7757884985465839</v>
      </c>
      <c r="AA91" s="15">
        <f t="shared" si="111"/>
        <v>-10.852787121657066</v>
      </c>
      <c r="AB91" s="15">
        <f t="shared" si="111"/>
        <v>-11.236987234238525</v>
      </c>
      <c r="AC91" s="15">
        <f t="shared" si="111"/>
        <v>-11.993870137545462</v>
      </c>
      <c r="AD91" s="15">
        <f t="shared" si="111"/>
        <v>0</v>
      </c>
      <c r="AE91" s="15">
        <f t="shared" si="111"/>
        <v>-5.4799377170918655</v>
      </c>
      <c r="AF91" s="15">
        <f t="shared" si="111"/>
        <v>-7.819453273998727</v>
      </c>
      <c r="AG91" s="15">
        <f t="shared" si="111"/>
        <v>-12.363636363636365</v>
      </c>
    </row>
    <row r="92" spans="1:33" s="41" customFormat="1" outlineLevel="1" x14ac:dyDescent="0.2">
      <c r="C92" s="95" t="s">
        <v>281</v>
      </c>
      <c r="E92" s="15">
        <f t="shared" ref="E92:F92" si="112">-SUM(E42:E43)*(1+E$52)</f>
        <v>-4.9604953517729324</v>
      </c>
      <c r="F92" s="15">
        <f t="shared" si="112"/>
        <v>-3.3987712103115495</v>
      </c>
      <c r="G92" s="15">
        <f>-SUM(G42:G43)*(1+G$52)</f>
        <v>-3.2830310375939735</v>
      </c>
      <c r="H92" s="15">
        <f t="shared" ref="H92:AG92" si="113">-SUM(H42:H43)*(1+H$52)</f>
        <v>0</v>
      </c>
      <c r="I92" s="15">
        <f t="shared" si="113"/>
        <v>0</v>
      </c>
      <c r="J92" s="15">
        <f t="shared" si="113"/>
        <v>0</v>
      </c>
      <c r="K92" s="15">
        <f t="shared" si="113"/>
        <v>-1.5742255653389994</v>
      </c>
      <c r="L92" s="15">
        <f t="shared" si="113"/>
        <v>-1.6144803820385885</v>
      </c>
      <c r="M92" s="15">
        <f t="shared" si="113"/>
        <v>-1.7024746984932784</v>
      </c>
      <c r="N92" s="15">
        <f t="shared" si="113"/>
        <v>0</v>
      </c>
      <c r="O92" s="15">
        <f t="shared" si="113"/>
        <v>0</v>
      </c>
      <c r="P92" s="15">
        <f t="shared" si="113"/>
        <v>-1.4174484499261868</v>
      </c>
      <c r="Q92" s="15">
        <f t="shared" si="113"/>
        <v>-1.4676276203029208</v>
      </c>
      <c r="R92" s="15">
        <f t="shared" si="113"/>
        <v>-1.5664817198113468</v>
      </c>
      <c r="S92" s="15">
        <f t="shared" si="113"/>
        <v>0</v>
      </c>
      <c r="T92" s="15">
        <f t="shared" si="113"/>
        <v>0</v>
      </c>
      <c r="U92" s="15">
        <f t="shared" si="113"/>
        <v>0</v>
      </c>
      <c r="V92" s="15">
        <f t="shared" si="113"/>
        <v>-1.5742255653389994</v>
      </c>
      <c r="W92" s="15">
        <f t="shared" si="113"/>
        <v>-1.6144803820385885</v>
      </c>
      <c r="X92" s="15">
        <f t="shared" si="113"/>
        <v>-1.7024746984932784</v>
      </c>
      <c r="Y92" s="15">
        <f t="shared" si="113"/>
        <v>0</v>
      </c>
      <c r="Z92" s="15">
        <f t="shared" si="113"/>
        <v>0</v>
      </c>
      <c r="AA92" s="15">
        <f t="shared" si="113"/>
        <v>-1.4174484499261868</v>
      </c>
      <c r="AB92" s="15">
        <f t="shared" si="113"/>
        <v>-1.4676276203029208</v>
      </c>
      <c r="AC92" s="15">
        <f t="shared" si="113"/>
        <v>-1.5664817198113468</v>
      </c>
      <c r="AD92" s="15">
        <f t="shared" si="113"/>
        <v>0</v>
      </c>
      <c r="AE92" s="15">
        <f t="shared" si="113"/>
        <v>0</v>
      </c>
      <c r="AF92" s="15">
        <f t="shared" si="113"/>
        <v>0</v>
      </c>
      <c r="AG92" s="15">
        <f t="shared" si="113"/>
        <v>-0.48705234159779615</v>
      </c>
    </row>
    <row r="93" spans="1:33" s="41" customFormat="1" outlineLevel="1" x14ac:dyDescent="0.2">
      <c r="C93" s="95" t="s">
        <v>247</v>
      </c>
      <c r="E93" s="15">
        <f t="shared" ref="E93:F93" si="114">-E44*(1+E$52)</f>
        <v>-3.6142042635868363</v>
      </c>
      <c r="F93" s="15">
        <f t="shared" si="114"/>
        <v>-2.4763360366568672</v>
      </c>
      <c r="G93" s="15">
        <f>-G44*(1+G$52)</f>
        <v>-2.3920080419628227</v>
      </c>
      <c r="H93" s="15">
        <f t="shared" ref="H93:AG93" si="115">-H44*(1+H$52)</f>
        <v>0</v>
      </c>
      <c r="I93" s="15">
        <f t="shared" si="115"/>
        <v>-2.9965330312407334</v>
      </c>
      <c r="J93" s="15">
        <f t="shared" si="115"/>
        <v>-3.1499921117462164</v>
      </c>
      <c r="K93" s="15">
        <f t="shared" si="115"/>
        <v>-3.1802536673515145</v>
      </c>
      <c r="L93" s="15">
        <f t="shared" si="115"/>
        <v>-3.261576529370886</v>
      </c>
      <c r="M93" s="15">
        <f t="shared" si="115"/>
        <v>-3.4393428252389469</v>
      </c>
      <c r="N93" s="15">
        <f t="shared" si="115"/>
        <v>-3.1155275116920942</v>
      </c>
      <c r="O93" s="15">
        <f t="shared" si="115"/>
        <v>-3.226697485221556</v>
      </c>
      <c r="P93" s="15">
        <f t="shared" si="115"/>
        <v>-2.863532222073105</v>
      </c>
      <c r="Q93" s="15">
        <f t="shared" si="115"/>
        <v>-2.9649042834402444</v>
      </c>
      <c r="R93" s="15">
        <f t="shared" si="115"/>
        <v>-3.1646095349724179</v>
      </c>
      <c r="S93" s="15">
        <f t="shared" si="115"/>
        <v>0</v>
      </c>
      <c r="T93" s="15">
        <f t="shared" si="115"/>
        <v>-2.9965330312407334</v>
      </c>
      <c r="U93" s="15">
        <f t="shared" si="115"/>
        <v>-3.1499921117462164</v>
      </c>
      <c r="V93" s="15">
        <f t="shared" si="115"/>
        <v>-3.1802536673515145</v>
      </c>
      <c r="W93" s="15">
        <f t="shared" si="115"/>
        <v>-3.261576529370886</v>
      </c>
      <c r="X93" s="15">
        <f t="shared" si="115"/>
        <v>-3.4393428252389469</v>
      </c>
      <c r="Y93" s="15">
        <f t="shared" si="115"/>
        <v>-3.1155275116920942</v>
      </c>
      <c r="Z93" s="15">
        <f t="shared" si="115"/>
        <v>-3.226697485221556</v>
      </c>
      <c r="AA93" s="15">
        <f t="shared" si="115"/>
        <v>-2.863532222073105</v>
      </c>
      <c r="AB93" s="15">
        <f t="shared" si="115"/>
        <v>-2.9649042834402444</v>
      </c>
      <c r="AC93" s="15">
        <f t="shared" si="115"/>
        <v>-3.1646095349724179</v>
      </c>
      <c r="AD93" s="15">
        <f t="shared" si="115"/>
        <v>0</v>
      </c>
      <c r="AE93" s="15">
        <f t="shared" si="115"/>
        <v>-2.0601269613127315</v>
      </c>
      <c r="AF93" s="15">
        <f t="shared" si="115"/>
        <v>-1.9071837253655435</v>
      </c>
      <c r="AG93" s="15">
        <f t="shared" si="115"/>
        <v>-1.8732782369146008</v>
      </c>
    </row>
    <row r="94" spans="1:33" s="41" customFormat="1" outlineLevel="1" x14ac:dyDescent="0.2">
      <c r="C94" s="95" t="s">
        <v>149</v>
      </c>
      <c r="E94" s="15">
        <f t="shared" ref="E94:F94" si="116">-E68*(1+E$52)</f>
        <v>-1.8071021317934182</v>
      </c>
      <c r="F94" s="15">
        <f t="shared" si="116"/>
        <v>-1.2381680183284336</v>
      </c>
      <c r="G94" s="15">
        <f>-G68*(1+G$52)</f>
        <v>-1.1960040209814113</v>
      </c>
      <c r="H94" s="15">
        <f t="shared" ref="H94:AG94" si="117">-H68*(1+H$52)</f>
        <v>0</v>
      </c>
      <c r="I94" s="15">
        <f t="shared" si="117"/>
        <v>-1.4982665156203667</v>
      </c>
      <c r="J94" s="15">
        <f t="shared" si="117"/>
        <v>-1.5749960558731082</v>
      </c>
      <c r="K94" s="15">
        <f t="shared" si="117"/>
        <v>-1.5901268336757572</v>
      </c>
      <c r="L94" s="15">
        <f t="shared" si="117"/>
        <v>-1.630788264685443</v>
      </c>
      <c r="M94" s="15">
        <f t="shared" si="117"/>
        <v>-1.7196714126194734</v>
      </c>
      <c r="N94" s="15">
        <f t="shared" si="117"/>
        <v>-1.5577637558460471</v>
      </c>
      <c r="O94" s="15">
        <f t="shared" si="117"/>
        <v>-1.613348742610778</v>
      </c>
      <c r="P94" s="15">
        <f t="shared" si="117"/>
        <v>-1.4317661110365525</v>
      </c>
      <c r="Q94" s="15">
        <f t="shared" si="117"/>
        <v>-1.4824521417201222</v>
      </c>
      <c r="R94" s="15">
        <f t="shared" si="117"/>
        <v>-1.582304767486209</v>
      </c>
      <c r="S94" s="15">
        <f t="shared" si="117"/>
        <v>0</v>
      </c>
      <c r="T94" s="15">
        <f t="shared" si="117"/>
        <v>-1.4982665156203667</v>
      </c>
      <c r="U94" s="15">
        <f t="shared" si="117"/>
        <v>-1.5749960558731082</v>
      </c>
      <c r="V94" s="15">
        <f t="shared" si="117"/>
        <v>-1.5901268336757572</v>
      </c>
      <c r="W94" s="15">
        <f t="shared" si="117"/>
        <v>-1.630788264685443</v>
      </c>
      <c r="X94" s="15">
        <f t="shared" si="117"/>
        <v>-1.7196714126194734</v>
      </c>
      <c r="Y94" s="15">
        <f t="shared" si="117"/>
        <v>-1.5577637558460471</v>
      </c>
      <c r="Z94" s="15">
        <f t="shared" si="117"/>
        <v>-1.613348742610778</v>
      </c>
      <c r="AA94" s="15">
        <f t="shared" si="117"/>
        <v>-1.4317661110365525</v>
      </c>
      <c r="AB94" s="15">
        <f t="shared" si="117"/>
        <v>-1.4824521417201222</v>
      </c>
      <c r="AC94" s="15">
        <f t="shared" si="117"/>
        <v>-1.582304767486209</v>
      </c>
      <c r="AD94" s="15">
        <f t="shared" si="117"/>
        <v>0</v>
      </c>
      <c r="AE94" s="15">
        <f t="shared" si="117"/>
        <v>0</v>
      </c>
      <c r="AF94" s="15">
        <f t="shared" si="117"/>
        <v>0</v>
      </c>
      <c r="AG94" s="15">
        <f t="shared" si="117"/>
        <v>0</v>
      </c>
    </row>
    <row r="95" spans="1:33" s="41" customFormat="1" outlineLevel="1" x14ac:dyDescent="0.2">
      <c r="C95" s="95" t="s">
        <v>269</v>
      </c>
      <c r="E95" s="15">
        <f t="shared" ref="E95:F95" si="118">-E65*(1+E$52)</f>
        <v>-1.4456817054347344</v>
      </c>
      <c r="F95" s="15">
        <f t="shared" si="118"/>
        <v>-0.99053441466274672</v>
      </c>
      <c r="G95" s="15">
        <f>-G65*(1+G$52)</f>
        <v>-0.95680321678512892</v>
      </c>
      <c r="H95" s="15">
        <f t="shared" ref="H95:AG95" si="119">-H65*(1+H$52)</f>
        <v>0</v>
      </c>
      <c r="I95" s="15">
        <f t="shared" si="119"/>
        <v>-1.1986132124962934</v>
      </c>
      <c r="J95" s="15">
        <f t="shared" si="119"/>
        <v>-1.2599968446984864</v>
      </c>
      <c r="K95" s="15">
        <f t="shared" si="119"/>
        <v>-1.2721014669406057</v>
      </c>
      <c r="L95" s="15">
        <f t="shared" si="119"/>
        <v>-1.3046306117483544</v>
      </c>
      <c r="M95" s="15">
        <f t="shared" si="119"/>
        <v>-1.3757371300955785</v>
      </c>
      <c r="N95" s="15">
        <f t="shared" si="119"/>
        <v>-1.2462110046768378</v>
      </c>
      <c r="O95" s="15">
        <f t="shared" si="119"/>
        <v>-1.2906789940886223</v>
      </c>
      <c r="P95" s="15">
        <f t="shared" si="119"/>
        <v>-1.1454128888292419</v>
      </c>
      <c r="Q95" s="15">
        <f t="shared" si="119"/>
        <v>-1.1859617133760978</v>
      </c>
      <c r="R95" s="15">
        <f t="shared" si="119"/>
        <v>-1.2658438139889672</v>
      </c>
      <c r="S95" s="15">
        <f t="shared" si="119"/>
        <v>0</v>
      </c>
      <c r="T95" s="15">
        <f t="shared" si="119"/>
        <v>-1.1986132124962934</v>
      </c>
      <c r="U95" s="15">
        <f t="shared" si="119"/>
        <v>-1.2599968446984864</v>
      </c>
      <c r="V95" s="15">
        <f t="shared" si="119"/>
        <v>-1.2721014669406057</v>
      </c>
      <c r="W95" s="15">
        <f t="shared" si="119"/>
        <v>-1.3046306117483544</v>
      </c>
      <c r="X95" s="15">
        <f t="shared" si="119"/>
        <v>-1.3757371300955785</v>
      </c>
      <c r="Y95" s="15">
        <f t="shared" si="119"/>
        <v>-1.2462110046768378</v>
      </c>
      <c r="Z95" s="15">
        <f t="shared" si="119"/>
        <v>-1.2906789940886223</v>
      </c>
      <c r="AA95" s="15">
        <f t="shared" si="119"/>
        <v>-1.1454128888292419</v>
      </c>
      <c r="AB95" s="15">
        <f t="shared" si="119"/>
        <v>-1.1859617133760978</v>
      </c>
      <c r="AC95" s="15">
        <f t="shared" si="119"/>
        <v>-1.2658438139889672</v>
      </c>
      <c r="AD95" s="15">
        <f t="shared" si="119"/>
        <v>0</v>
      </c>
      <c r="AE95" s="15">
        <f t="shared" si="119"/>
        <v>-0.82405078452509262</v>
      </c>
      <c r="AF95" s="15">
        <f t="shared" si="119"/>
        <v>-0.7628734901462173</v>
      </c>
      <c r="AG95" s="15">
        <f t="shared" si="119"/>
        <v>-0.74931129476584024</v>
      </c>
    </row>
    <row r="96" spans="1:33" s="41" customFormat="1" outlineLevel="1" x14ac:dyDescent="0.2">
      <c r="C96" s="95" t="s">
        <v>96</v>
      </c>
      <c r="E96" s="15">
        <f t="shared" ref="E96:F96" si="120">-E67*(1+E$52)</f>
        <v>-0.3614204263586836</v>
      </c>
      <c r="F96" s="15">
        <f t="shared" si="120"/>
        <v>-0.24763360366568668</v>
      </c>
      <c r="G96" s="15">
        <f>-G67*(1+G$52)</f>
        <v>-0.23920080419628223</v>
      </c>
      <c r="H96" s="15">
        <f t="shared" ref="H96:AG96" si="121">-H67*(1+H$52)</f>
        <v>0</v>
      </c>
      <c r="I96" s="15">
        <f t="shared" si="121"/>
        <v>0</v>
      </c>
      <c r="J96" s="15">
        <f t="shared" si="121"/>
        <v>0</v>
      </c>
      <c r="K96" s="15">
        <f t="shared" si="121"/>
        <v>0</v>
      </c>
      <c r="L96" s="15">
        <f t="shared" si="121"/>
        <v>0</v>
      </c>
      <c r="M96" s="15">
        <f t="shared" si="121"/>
        <v>0</v>
      </c>
      <c r="N96" s="15">
        <f t="shared" si="121"/>
        <v>0</v>
      </c>
      <c r="O96" s="15">
        <f t="shared" si="121"/>
        <v>0</v>
      </c>
      <c r="P96" s="15">
        <f t="shared" si="121"/>
        <v>0</v>
      </c>
      <c r="Q96" s="15">
        <f t="shared" si="121"/>
        <v>0</v>
      </c>
      <c r="R96" s="15">
        <f t="shared" si="121"/>
        <v>0</v>
      </c>
      <c r="S96" s="15">
        <f t="shared" si="121"/>
        <v>0</v>
      </c>
      <c r="T96" s="15">
        <f t="shared" si="121"/>
        <v>0</v>
      </c>
      <c r="U96" s="15">
        <f t="shared" si="121"/>
        <v>0</v>
      </c>
      <c r="V96" s="15">
        <f t="shared" si="121"/>
        <v>0</v>
      </c>
      <c r="W96" s="15">
        <f t="shared" si="121"/>
        <v>0</v>
      </c>
      <c r="X96" s="15">
        <f t="shared" si="121"/>
        <v>0</v>
      </c>
      <c r="Y96" s="15">
        <f t="shared" si="121"/>
        <v>0</v>
      </c>
      <c r="Z96" s="15">
        <f t="shared" si="121"/>
        <v>0</v>
      </c>
      <c r="AA96" s="15">
        <f t="shared" si="121"/>
        <v>0</v>
      </c>
      <c r="AB96" s="15">
        <f t="shared" si="121"/>
        <v>0</v>
      </c>
      <c r="AC96" s="15">
        <f t="shared" si="121"/>
        <v>0</v>
      </c>
      <c r="AD96" s="15">
        <f t="shared" si="121"/>
        <v>0</v>
      </c>
      <c r="AE96" s="15">
        <f t="shared" si="121"/>
        <v>-0.1236076176787639</v>
      </c>
      <c r="AF96" s="15">
        <f t="shared" si="121"/>
        <v>-0.1144310235219326</v>
      </c>
      <c r="AG96" s="15">
        <f t="shared" si="121"/>
        <v>-0.11239669421487604</v>
      </c>
    </row>
    <row r="97" spans="3:33" s="41" customFormat="1" outlineLevel="1" x14ac:dyDescent="0.2">
      <c r="C97" s="95" t="s">
        <v>270</v>
      </c>
      <c r="E97" s="15">
        <f>-E66*(1+E$52)</f>
        <v>-0.7228408527173672</v>
      </c>
      <c r="F97" s="15">
        <f t="shared" ref="F97:AG97" si="122">-F66*(1+F$52)</f>
        <v>-0.49526720733137336</v>
      </c>
      <c r="G97" s="15">
        <f t="shared" si="122"/>
        <v>-0.47840160839256446</v>
      </c>
      <c r="H97" s="15">
        <f t="shared" si="122"/>
        <v>0</v>
      </c>
      <c r="I97" s="15">
        <f t="shared" si="122"/>
        <v>0</v>
      </c>
      <c r="J97" s="15">
        <f t="shared" si="122"/>
        <v>0</v>
      </c>
      <c r="K97" s="15">
        <f t="shared" si="122"/>
        <v>0</v>
      </c>
      <c r="L97" s="15">
        <f t="shared" si="122"/>
        <v>0</v>
      </c>
      <c r="M97" s="15">
        <f t="shared" si="122"/>
        <v>0</v>
      </c>
      <c r="N97" s="15">
        <f t="shared" si="122"/>
        <v>0</v>
      </c>
      <c r="O97" s="15">
        <f t="shared" si="122"/>
        <v>0</v>
      </c>
      <c r="P97" s="15">
        <f t="shared" si="122"/>
        <v>0</v>
      </c>
      <c r="Q97" s="15">
        <f t="shared" si="122"/>
        <v>0</v>
      </c>
      <c r="R97" s="15">
        <f t="shared" si="122"/>
        <v>0</v>
      </c>
      <c r="S97" s="15">
        <f t="shared" si="122"/>
        <v>0</v>
      </c>
      <c r="T97" s="15">
        <f t="shared" si="122"/>
        <v>0</v>
      </c>
      <c r="U97" s="15">
        <f t="shared" si="122"/>
        <v>0</v>
      </c>
      <c r="V97" s="15">
        <f t="shared" si="122"/>
        <v>0</v>
      </c>
      <c r="W97" s="15">
        <f t="shared" si="122"/>
        <v>0</v>
      </c>
      <c r="X97" s="15">
        <f t="shared" si="122"/>
        <v>0</v>
      </c>
      <c r="Y97" s="15">
        <f t="shared" si="122"/>
        <v>0</v>
      </c>
      <c r="Z97" s="15">
        <f t="shared" si="122"/>
        <v>0</v>
      </c>
      <c r="AA97" s="15">
        <f t="shared" si="122"/>
        <v>0</v>
      </c>
      <c r="AB97" s="15">
        <f t="shared" si="122"/>
        <v>0</v>
      </c>
      <c r="AC97" s="15">
        <f t="shared" si="122"/>
        <v>0</v>
      </c>
      <c r="AD97" s="15">
        <f t="shared" si="122"/>
        <v>0</v>
      </c>
      <c r="AE97" s="15">
        <f t="shared" si="122"/>
        <v>0</v>
      </c>
      <c r="AF97" s="15">
        <f t="shared" si="122"/>
        <v>0</v>
      </c>
      <c r="AG97" s="15">
        <f t="shared" si="122"/>
        <v>0</v>
      </c>
    </row>
    <row r="98" spans="3:33" s="41" customFormat="1" x14ac:dyDescent="0.2"/>
    <row r="99" spans="3:33" s="41" customFormat="1" x14ac:dyDescent="0.2">
      <c r="C99" s="59" t="s">
        <v>282</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3:33" s="41" customFormat="1" x14ac:dyDescent="0.2"/>
    <row r="102" spans="3:33" s="41" customFormat="1" x14ac:dyDescent="0.2">
      <c r="C102" s="78" t="s">
        <v>234</v>
      </c>
      <c r="E102" s="87">
        <f>INDEX(chosen.minus,MATCH($E$3,'Values and minus percentages'!$C$66:$C$69,0))</f>
        <v>0.20746012867239169</v>
      </c>
      <c r="F102" s="87">
        <f>INDEX(chosen.minus,MATCH($E$3,'Values and minus percentages'!$C$66:$C$69,0))</f>
        <v>0.20746012867239169</v>
      </c>
      <c r="G102" s="87">
        <f>INDEX(chosen.minus,MATCH($E$3,'Values and minus percentages'!$C$66:$C$69,0))</f>
        <v>0.20746012867239169</v>
      </c>
      <c r="I102" s="87">
        <f>INDEX(chosen.minus,MATCH($I$3,'Values and minus percentages'!$C$66:$C$69,0))</f>
        <v>0.22871079615870746</v>
      </c>
      <c r="J102" s="87">
        <f>INDEX(chosen.minus,MATCH($I$3,'Values and minus percentages'!$C$66:$C$69,0))</f>
        <v>0.22871079615870746</v>
      </c>
      <c r="K102" s="87">
        <f>INDEX(chosen.minus,MATCH($I$3,'Values and minus percentages'!$C$66:$C$69,0))</f>
        <v>0.22871079615870746</v>
      </c>
      <c r="L102" s="87">
        <f>INDEX(chosen.minus,MATCH($I$3,'Values and minus percentages'!$C$66:$C$69,0))</f>
        <v>0.22871079615870746</v>
      </c>
      <c r="M102" s="87">
        <f>INDEX(chosen.minus,MATCH($I$3,'Values and minus percentages'!$C$66:$C$69,0))</f>
        <v>0.22871079615870746</v>
      </c>
      <c r="N102" s="87">
        <f>INDEX(chosen.minus,MATCH($I$3,'Values and minus percentages'!$C$66:$C$69,0))</f>
        <v>0.22871079615870746</v>
      </c>
      <c r="O102" s="87">
        <f>INDEX(chosen.minus,MATCH($I$3,'Values and minus percentages'!$C$66:$C$69,0))</f>
        <v>0.22871079615870746</v>
      </c>
      <c r="P102" s="87">
        <f>INDEX(chosen.minus,MATCH($I$3,'Values and minus percentages'!$C$66:$C$69,0))</f>
        <v>0.22871079615870746</v>
      </c>
      <c r="Q102" s="87">
        <f>INDEX(chosen.minus,MATCH($I$3,'Values and minus percentages'!$C$66:$C$69,0))</f>
        <v>0.22871079615870746</v>
      </c>
      <c r="R102" s="87">
        <f>INDEX(chosen.minus,MATCH($I$3,'Values and minus percentages'!$C$66:$C$69,0))</f>
        <v>0.22871079615870746</v>
      </c>
      <c r="T102" s="87">
        <f>INDEX(chosen.minus,MATCH($T$3,'Values and minus percentages'!$C$66:$C$69,0))</f>
        <v>0.28325393805984955</v>
      </c>
      <c r="U102" s="87">
        <f>INDEX(chosen.minus,MATCH($T$3,'Values and minus percentages'!$C$66:$C$69,0))</f>
        <v>0.28325393805984955</v>
      </c>
      <c r="V102" s="87">
        <f>INDEX(chosen.minus,MATCH($T$3,'Values and minus percentages'!$C$66:$C$69,0))</f>
        <v>0.28325393805984955</v>
      </c>
      <c r="W102" s="87">
        <f>INDEX(chosen.minus,MATCH($T$3,'Values and minus percentages'!$C$66:$C$69,0))</f>
        <v>0.28325393805984955</v>
      </c>
      <c r="X102" s="87">
        <f>INDEX(chosen.minus,MATCH($T$3,'Values and minus percentages'!$C$66:$C$69,0))</f>
        <v>0.28325393805984955</v>
      </c>
      <c r="Y102" s="87">
        <f>INDEX(chosen.minus,MATCH($T$3,'Values and minus percentages'!$C$66:$C$69,0))</f>
        <v>0.28325393805984955</v>
      </c>
      <c r="Z102" s="87">
        <f>INDEX(chosen.minus,MATCH($T$3,'Values and minus percentages'!$C$66:$C$69,0))</f>
        <v>0.28325393805984955</v>
      </c>
      <c r="AA102" s="87">
        <f>INDEX(chosen.minus,MATCH($T$3,'Values and minus percentages'!$C$66:$C$69,0))</f>
        <v>0.28325393805984955</v>
      </c>
      <c r="AB102" s="87">
        <f>INDEX(chosen.minus,MATCH($T$3,'Values and minus percentages'!$C$66:$C$69,0))</f>
        <v>0.28325393805984955</v>
      </c>
      <c r="AC102" s="87">
        <f>INDEX(chosen.minus,MATCH($T$3,'Values and minus percentages'!$C$66:$C$69,0))</f>
        <v>0.28325393805984955</v>
      </c>
      <c r="AE102" s="87">
        <f>INDEX(chosen.minus,MATCH($AE$3,'Values and minus percentages'!$C$66:$C$69,0))</f>
        <v>0.21549535467870184</v>
      </c>
      <c r="AF102" s="87">
        <f>INDEX(chosen.minus,MATCH($AE$3,'Values and minus percentages'!$C$66:$C$69,0))</f>
        <v>0.21549535467870184</v>
      </c>
      <c r="AG102" s="87">
        <f>INDEX(chosen.minus,MATCH($AE$3,'Values and minus percentages'!$C$66:$C$69,0))</f>
        <v>0.21549535467870184</v>
      </c>
    </row>
    <row r="103" spans="3:33" s="41" customFormat="1" x14ac:dyDescent="0.2">
      <c r="C103" s="95" t="s">
        <v>235</v>
      </c>
      <c r="E103" s="93">
        <f>INDEX('Values and minus percentages'!$D$66:$D$69,MATCH($E$3,'Values and minus percentages'!$C$66:$C$69,0))</f>
        <v>0.23</v>
      </c>
      <c r="F103" s="93">
        <f>INDEX('Values and minus percentages'!$D$66:$D$69,MATCH($E$3,'Values and minus percentages'!$C$66:$C$69,0))</f>
        <v>0.23</v>
      </c>
      <c r="G103" s="93">
        <f>INDEX('Values and minus percentages'!$D$66:$D$69,MATCH($E$3,'Values and minus percentages'!$C$66:$C$69,0))</f>
        <v>0.23</v>
      </c>
      <c r="I103" s="93">
        <f>INDEX('Values and minus percentages'!$D$66:$D$69,MATCH($I$3,'Values and minus percentages'!$C$66:$C$69,0))</f>
        <v>0.23</v>
      </c>
      <c r="J103" s="93">
        <f>INDEX('Values and minus percentages'!$D$66:$D$69,MATCH($I$3,'Values and minus percentages'!$C$66:$C$69,0))</f>
        <v>0.23</v>
      </c>
      <c r="K103" s="93">
        <f>INDEX('Values and minus percentages'!$D$66:$D$69,MATCH($I$3,'Values and minus percentages'!$C$66:$C$69,0))</f>
        <v>0.23</v>
      </c>
      <c r="L103" s="93">
        <f>INDEX('Values and minus percentages'!$D$66:$D$69,MATCH($I$3,'Values and minus percentages'!$C$66:$C$69,0))</f>
        <v>0.23</v>
      </c>
      <c r="M103" s="93">
        <f>INDEX('Values and minus percentages'!$D$66:$D$69,MATCH($I$3,'Values and minus percentages'!$C$66:$C$69,0))</f>
        <v>0.23</v>
      </c>
      <c r="N103" s="93">
        <f>INDEX('Values and minus percentages'!$D$66:$D$69,MATCH($I$3,'Values and minus percentages'!$C$66:$C$69,0))</f>
        <v>0.23</v>
      </c>
      <c r="O103" s="93">
        <f>INDEX('Values and minus percentages'!$D$66:$D$69,MATCH($I$3,'Values and minus percentages'!$C$66:$C$69,0))</f>
        <v>0.23</v>
      </c>
      <c r="P103" s="93">
        <f>INDEX('Values and minus percentages'!$D$66:$D$69,MATCH($I$3,'Values and minus percentages'!$C$66:$C$69,0))</f>
        <v>0.23</v>
      </c>
      <c r="Q103" s="93">
        <f>INDEX('Values and minus percentages'!$D$66:$D$69,MATCH($I$3,'Values and minus percentages'!$C$66:$C$69,0))</f>
        <v>0.23</v>
      </c>
      <c r="R103" s="93">
        <f>INDEX('Values and minus percentages'!$D$66:$D$69,MATCH($I$3,'Values and minus percentages'!$C$66:$C$69,0))</f>
        <v>0.23</v>
      </c>
      <c r="T103" s="93">
        <f>INDEX('Values and minus percentages'!$D$66:$D$69,MATCH($I$3,'Values and minus percentages'!$C$66:$C$69,0))</f>
        <v>0.23</v>
      </c>
      <c r="U103" s="93">
        <f>INDEX('Values and minus percentages'!$D$66:$D$69,MATCH($I$3,'Values and minus percentages'!$C$66:$C$69,0))</f>
        <v>0.23</v>
      </c>
      <c r="V103" s="93">
        <f>INDEX('Values and minus percentages'!$D$66:$D$69,MATCH($I$3,'Values and minus percentages'!$C$66:$C$69,0))</f>
        <v>0.23</v>
      </c>
      <c r="W103" s="93">
        <f>INDEX('Values and minus percentages'!$D$66:$D$69,MATCH($I$3,'Values and minus percentages'!$C$66:$C$69,0))</f>
        <v>0.23</v>
      </c>
      <c r="X103" s="93">
        <f>INDEX('Values and minus percentages'!$D$66:$D$69,MATCH($I$3,'Values and minus percentages'!$C$66:$C$69,0))</f>
        <v>0.23</v>
      </c>
      <c r="Y103" s="93">
        <f>INDEX('Values and minus percentages'!$D$66:$D$69,MATCH($I$3,'Values and minus percentages'!$C$66:$C$69,0))</f>
        <v>0.23</v>
      </c>
      <c r="Z103" s="93">
        <f>INDEX('Values and minus percentages'!$D$66:$D$69,MATCH($I$3,'Values and minus percentages'!$C$66:$C$69,0))</f>
        <v>0.23</v>
      </c>
      <c r="AA103" s="93">
        <f>INDEX('Values and minus percentages'!$D$66:$D$69,MATCH($I$3,'Values and minus percentages'!$C$66:$C$69,0))</f>
        <v>0.23</v>
      </c>
      <c r="AB103" s="93">
        <f>INDEX('Values and minus percentages'!$D$66:$D$69,MATCH($I$3,'Values and minus percentages'!$C$66:$C$69,0))</f>
        <v>0.23</v>
      </c>
      <c r="AC103" s="93">
        <f>INDEX('Values and minus percentages'!$D$66:$D$69,MATCH($I$3,'Values and minus percentages'!$C$66:$C$69,0))</f>
        <v>0.23</v>
      </c>
      <c r="AE103" s="93">
        <f>INDEX('Values and minus percentages'!$D$66:$D$69,MATCH($AE$3,'Values and minus percentages'!$C$66:$C$69,0))</f>
        <v>0.2</v>
      </c>
      <c r="AF103" s="93">
        <f>INDEX('Values and minus percentages'!$D$66:$D$69,MATCH($AE$3,'Values and minus percentages'!$C$66:$C$69,0))</f>
        <v>0.2</v>
      </c>
      <c r="AG103" s="93">
        <f>INDEX('Values and minus percentages'!$D$66:$D$69,MATCH($AE$3,'Values and minus percentages'!$C$66:$C$69,0))</f>
        <v>0.2</v>
      </c>
    </row>
    <row r="104" spans="3:33" x14ac:dyDescent="0.2">
      <c r="C104" s="41"/>
    </row>
    <row r="105" spans="3:33" s="41" customFormat="1" x14ac:dyDescent="0.2">
      <c r="C105" s="78" t="s">
        <v>236</v>
      </c>
      <c r="E105" s="101">
        <f>E72*(1-E102)</f>
        <v>18.899317679333677</v>
      </c>
      <c r="F105" s="101">
        <f>F72*(1-F102)</f>
        <v>21.741627895836242</v>
      </c>
      <c r="G105" s="101">
        <f>G72*(1-G102)</f>
        <v>29.115108891870769</v>
      </c>
      <c r="H105" s="15"/>
      <c r="I105" s="101">
        <f t="shared" ref="I105:AG105" si="123">I72*(1-I102)</f>
        <v>15.70687154215484</v>
      </c>
      <c r="J105" s="101">
        <f t="shared" si="123"/>
        <v>21.856275952143914</v>
      </c>
      <c r="K105" s="101">
        <f t="shared" si="123"/>
        <v>26.972036928877479</v>
      </c>
      <c r="L105" s="101">
        <f t="shared" si="123"/>
        <v>33.196105217739678</v>
      </c>
      <c r="M105" s="101">
        <f t="shared" si="123"/>
        <v>45.616310505994242</v>
      </c>
      <c r="N105" s="101">
        <f t="shared" si="123"/>
        <v>16.330602700526587</v>
      </c>
      <c r="O105" s="101">
        <f t="shared" si="123"/>
        <v>22.388497541981454</v>
      </c>
      <c r="P105" s="101">
        <f t="shared" si="123"/>
        <v>24.285891919152231</v>
      </c>
      <c r="Q105" s="101">
        <f t="shared" si="123"/>
        <v>30.176595173314524</v>
      </c>
      <c r="R105" s="101">
        <f t="shared" si="123"/>
        <v>41.97249838492116</v>
      </c>
      <c r="S105" s="101">
        <f t="shared" si="123"/>
        <v>0</v>
      </c>
      <c r="T105" s="101">
        <f t="shared" si="123"/>
        <v>14.596131084386103</v>
      </c>
      <c r="U105" s="101">
        <f t="shared" si="123"/>
        <v>20.3106689933648</v>
      </c>
      <c r="V105" s="101">
        <f t="shared" si="123"/>
        <v>25.064659475325929</v>
      </c>
      <c r="W105" s="101">
        <f t="shared" si="123"/>
        <v>30.848581268955105</v>
      </c>
      <c r="X105" s="101">
        <f t="shared" si="123"/>
        <v>42.390468779513952</v>
      </c>
      <c r="Y105" s="101">
        <f t="shared" si="123"/>
        <v>15.175753940826745</v>
      </c>
      <c r="Z105" s="101">
        <f t="shared" si="123"/>
        <v>20.805253549580211</v>
      </c>
      <c r="AA105" s="101">
        <f t="shared" si="123"/>
        <v>22.568470175732251</v>
      </c>
      <c r="AB105" s="101">
        <f t="shared" si="123"/>
        <v>28.042601459368939</v>
      </c>
      <c r="AC105" s="101">
        <f t="shared" si="123"/>
        <v>39.004335568752296</v>
      </c>
      <c r="AD105" s="101">
        <f t="shared" si="123"/>
        <v>0</v>
      </c>
      <c r="AE105" s="101">
        <f t="shared" si="123"/>
        <v>15.644614376262407</v>
      </c>
      <c r="AF105" s="101">
        <f t="shared" si="123"/>
        <v>20.467940650976523</v>
      </c>
      <c r="AG105" s="101">
        <f t="shared" si="123"/>
        <v>23.043257108192318</v>
      </c>
    </row>
    <row r="106" spans="3:33" x14ac:dyDescent="0.2">
      <c r="C106" s="95" t="s">
        <v>237</v>
      </c>
      <c r="E106" s="85">
        <v>30.348181818181811</v>
      </c>
      <c r="F106" s="85">
        <v>29.879308203508</v>
      </c>
      <c r="G106" s="85">
        <v>37.003376623376639</v>
      </c>
      <c r="I106" s="85">
        <v>24.80876363636364</v>
      </c>
      <c r="J106" s="85">
        <v>31.172400000000007</v>
      </c>
      <c r="K106" s="85">
        <v>37.536036363636363</v>
      </c>
      <c r="L106" s="85">
        <v>43.89967272727273</v>
      </c>
      <c r="M106" s="85">
        <v>56.626945454545464</v>
      </c>
      <c r="N106" s="85">
        <v>25.024003677891645</v>
      </c>
      <c r="O106" s="85">
        <v>31.337216184404497</v>
      </c>
      <c r="P106" s="85">
        <v>33.221592537353253</v>
      </c>
      <c r="Q106" s="85">
        <v>39.40840078893747</v>
      </c>
      <c r="R106" s="85">
        <v>51.711854267948397</v>
      </c>
      <c r="T106" s="85">
        <v>24.80876363636364</v>
      </c>
      <c r="U106" s="85">
        <v>31.172400000000007</v>
      </c>
      <c r="V106" s="85">
        <v>37.536036363636363</v>
      </c>
      <c r="W106" s="85">
        <v>43.89967272727273</v>
      </c>
      <c r="X106" s="85">
        <v>56.626945454545464</v>
      </c>
      <c r="Y106" s="85">
        <v>25.024003677891645</v>
      </c>
      <c r="Z106" s="85">
        <v>31.337216184404497</v>
      </c>
      <c r="AA106" s="85">
        <v>33.221592537353253</v>
      </c>
      <c r="AB106" s="85">
        <v>39.40840078893747</v>
      </c>
      <c r="AC106" s="85">
        <v>51.711854267948397</v>
      </c>
      <c r="AE106" s="85">
        <v>23.092309562038139</v>
      </c>
      <c r="AF106" s="85">
        <v>28.251557081271432</v>
      </c>
      <c r="AG106" s="85">
        <v>29.691100052831924</v>
      </c>
    </row>
    <row r="107" spans="3:33" x14ac:dyDescent="0.2">
      <c r="C107" s="95" t="s">
        <v>238</v>
      </c>
      <c r="E107" s="15">
        <f>E105-E106</f>
        <v>-11.448864138848133</v>
      </c>
      <c r="F107" s="15">
        <f>F105-F106</f>
        <v>-8.1376803076717579</v>
      </c>
      <c r="G107" s="15">
        <f>G105-G106</f>
        <v>-7.88826773150587</v>
      </c>
      <c r="I107" s="15">
        <f t="shared" ref="I107:R107" si="124">I105-I106</f>
        <v>-9.1018920942088002</v>
      </c>
      <c r="J107" s="15">
        <f t="shared" si="124"/>
        <v>-9.3161240478560927</v>
      </c>
      <c r="K107" s="15">
        <f t="shared" si="124"/>
        <v>-10.563999434758884</v>
      </c>
      <c r="L107" s="15">
        <f t="shared" si="124"/>
        <v>-10.703567509533052</v>
      </c>
      <c r="M107" s="15">
        <f t="shared" si="124"/>
        <v>-11.010634948551221</v>
      </c>
      <c r="N107" s="15">
        <f t="shared" si="124"/>
        <v>-8.6934009773650587</v>
      </c>
      <c r="O107" s="15">
        <f t="shared" si="124"/>
        <v>-8.9487186424230423</v>
      </c>
      <c r="P107" s="15">
        <f t="shared" si="124"/>
        <v>-8.9357006182010217</v>
      </c>
      <c r="Q107" s="15">
        <f t="shared" si="124"/>
        <v>-9.231805615622946</v>
      </c>
      <c r="R107" s="15">
        <f t="shared" si="124"/>
        <v>-9.7393558830272369</v>
      </c>
      <c r="T107" s="15">
        <f t="shared" ref="T107" si="125">T105-T106</f>
        <v>-10.212632551977537</v>
      </c>
      <c r="U107" s="15">
        <f t="shared" ref="U107" si="126">U105-U106</f>
        <v>-10.861731006635207</v>
      </c>
      <c r="V107" s="15">
        <f t="shared" ref="V107" si="127">V105-V106</f>
        <v>-12.471376888310434</v>
      </c>
      <c r="W107" s="15">
        <f t="shared" ref="W107" si="128">W105-W106</f>
        <v>-13.051091458317625</v>
      </c>
      <c r="X107" s="15">
        <f t="shared" ref="X107" si="129">X105-X106</f>
        <v>-14.236476675031511</v>
      </c>
      <c r="Y107" s="15">
        <f t="shared" ref="Y107" si="130">Y105-Y106</f>
        <v>-9.8482497370649007</v>
      </c>
      <c r="Z107" s="15">
        <f t="shared" ref="Z107" si="131">Z105-Z106</f>
        <v>-10.531962634824286</v>
      </c>
      <c r="AA107" s="15">
        <f t="shared" ref="AA107" si="132">AA105-AA106</f>
        <v>-10.653122361621001</v>
      </c>
      <c r="AB107" s="15">
        <f t="shared" ref="AB107" si="133">AB105-AB106</f>
        <v>-11.365799329568532</v>
      </c>
      <c r="AC107" s="15">
        <f t="shared" ref="AC107" si="134">AC105-AC106</f>
        <v>-12.7075186991961</v>
      </c>
      <c r="AE107" s="15">
        <f>AE105-AE106</f>
        <v>-7.4476951857757321</v>
      </c>
      <c r="AF107" s="15">
        <f>AF105-AF106</f>
        <v>-7.7836164302949093</v>
      </c>
      <c r="AG107" s="15">
        <f>AG105-AG106</f>
        <v>-6.6478429446396063</v>
      </c>
    </row>
    <row r="108" spans="3:33" x14ac:dyDescent="0.2">
      <c r="C108" s="95" t="s">
        <v>227</v>
      </c>
      <c r="E108" s="75">
        <f>E105/E106-1</f>
        <v>-0.37725041346592425</v>
      </c>
      <c r="F108" s="75">
        <f>F105/F106-1</f>
        <v>-0.2723516974437965</v>
      </c>
      <c r="G108" s="75">
        <f>G105/G106-1</f>
        <v>-0.21317697062604035</v>
      </c>
      <c r="I108" s="75">
        <f t="shared" ref="I108:R108" si="135">I105/I106-1</f>
        <v>-0.36688213196032193</v>
      </c>
      <c r="J108" s="75">
        <f t="shared" si="135"/>
        <v>-0.29885809395029228</v>
      </c>
      <c r="K108" s="75">
        <f t="shared" si="135"/>
        <v>-0.28143619993380353</v>
      </c>
      <c r="L108" s="75">
        <f t="shared" si="135"/>
        <v>-0.24381884521165109</v>
      </c>
      <c r="M108" s="75">
        <f t="shared" si="135"/>
        <v>-0.19444161891779022</v>
      </c>
      <c r="N108" s="75">
        <f t="shared" si="135"/>
        <v>-0.34740248160391518</v>
      </c>
      <c r="O108" s="75">
        <f t="shared" si="135"/>
        <v>-0.28556201641409762</v>
      </c>
      <c r="P108" s="75">
        <f t="shared" si="135"/>
        <v>-0.26897267517064438</v>
      </c>
      <c r="Q108" s="75">
        <f t="shared" si="135"/>
        <v>-0.23425983878580658</v>
      </c>
      <c r="R108" s="75">
        <f t="shared" si="135"/>
        <v>-0.18833894125246642</v>
      </c>
      <c r="T108" s="75">
        <f t="shared" ref="T108:AC108" si="136">T105/T106-1</f>
        <v>-0.41165423241843013</v>
      </c>
      <c r="U108" s="75">
        <f t="shared" si="136"/>
        <v>-0.3484406400095984</v>
      </c>
      <c r="V108" s="75">
        <f t="shared" si="136"/>
        <v>-0.3322507674356443</v>
      </c>
      <c r="W108" s="75">
        <f t="shared" si="136"/>
        <v>-0.29729359349436835</v>
      </c>
      <c r="X108" s="75">
        <f t="shared" si="136"/>
        <v>-0.25140816903958119</v>
      </c>
      <c r="Y108" s="75">
        <f t="shared" si="136"/>
        <v>-0.39355212154822738</v>
      </c>
      <c r="Z108" s="75">
        <f t="shared" si="136"/>
        <v>-0.33608481917630251</v>
      </c>
      <c r="AA108" s="75">
        <f t="shared" si="136"/>
        <v>-0.32066862386693185</v>
      </c>
      <c r="AB108" s="75">
        <f t="shared" si="136"/>
        <v>-0.28841056987928015</v>
      </c>
      <c r="AC108" s="75">
        <f t="shared" si="136"/>
        <v>-0.24573705350713693</v>
      </c>
      <c r="AE108" s="75">
        <f>AE105/AE106-1</f>
        <v>-0.32251841963954664</v>
      </c>
      <c r="AF108" s="75">
        <f>AF105/AF106-1</f>
        <v>-0.27551105972331824</v>
      </c>
      <c r="AG108" s="75">
        <f>AG105/AG106-1</f>
        <v>-0.22390019005057171</v>
      </c>
    </row>
    <row r="110" spans="3:33" s="41" customFormat="1" x14ac:dyDescent="0.2">
      <c r="I110" s="109"/>
      <c r="J110" s="109"/>
      <c r="K110" s="109"/>
      <c r="L110" s="109"/>
      <c r="M110" s="109"/>
      <c r="T110" s="109"/>
      <c r="U110" s="109"/>
      <c r="V110" s="109"/>
      <c r="W110" s="109"/>
      <c r="X110" s="109"/>
    </row>
  </sheetData>
  <mergeCells count="4">
    <mergeCell ref="AE3:AG3"/>
    <mergeCell ref="I3:R3"/>
    <mergeCell ref="E3:G3"/>
    <mergeCell ref="T3:AC3"/>
  </mergeCells>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AE103:AG103 S10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S</vt:lpstr>
      <vt:lpstr>Values and minus percentages</vt:lpstr>
      <vt:lpstr>Wholesale tariffs - analog TV</vt:lpstr>
      <vt:lpstr>Wholesal tariffs - digital TV</vt:lpstr>
      <vt:lpstr>Wholesale tariffs - multiplay</vt:lpstr>
      <vt:lpstr>chosen.minus</vt:lpstr>
      <vt:lpstr>chosen.minus.TVanalogique</vt:lpstr>
      <vt:lpstr>chosen.minus.TVnumerique</vt:lpstr>
      <vt:lpstr>liste.minus</vt:lpstr>
      <vt:lpstr>VAT.rate</vt:lpstr>
    </vt:vector>
  </TitlesOfParts>
  <Manager>-</Manager>
  <Company>Analysys Mason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Analysys Mason workbook</dc:title>
  <dc:subject>-</dc:subject>
  <dc:creator>JOHANN ADJOVI</dc:creator>
  <cp:lastModifiedBy>HERMANNS, Olivier</cp:lastModifiedBy>
  <cp:lastPrinted>2010-04-20T10:31:05Z</cp:lastPrinted>
  <dcterms:created xsi:type="dcterms:W3CDTF">1997-01-23T15:12:23Z</dcterms:created>
  <dcterms:modified xsi:type="dcterms:W3CDTF">2015-06-24T11:09:42Z</dcterms:modified>
</cp:coreProperties>
</file>